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C:\Users\5010158\Desktop\"/>
    </mc:Choice>
  </mc:AlternateContent>
  <bookViews>
    <workbookView xWindow="0" yWindow="0" windowWidth="19200" windowHeight="6250" activeTab="1"/>
  </bookViews>
  <sheets>
    <sheet name="別添１_収支計画" sheetId="1" r:id="rId1"/>
    <sheet name="収支計画（品種別）" sheetId="4" r:id="rId2"/>
    <sheet name="品種別詳細表" sheetId="2" r:id="rId3"/>
    <sheet name="減価償却試算" sheetId="3" r:id="rId4"/>
  </sheets>
  <definedNames>
    <definedName name="_xlnm.Print_Area" localSheetId="3">減価償却試算!$A$3:$K$13</definedName>
    <definedName name="_xlnm.Print_Area" localSheetId="2">品種別詳細表!$A$1:$H$119</definedName>
    <definedName name="_xlnm.Print_Area" localSheetId="0">別添１_収支計画!$A$1:$I$77</definedName>
  </definedNames>
  <calcPr calcId="162913"/>
</workbook>
</file>

<file path=xl/calcChain.xml><?xml version="1.0" encoding="utf-8"?>
<calcChain xmlns="http://schemas.openxmlformats.org/spreadsheetml/2006/main">
  <c r="D36" i="3" l="1"/>
  <c r="D35" i="3"/>
  <c r="E34" i="3"/>
  <c r="E33" i="3"/>
  <c r="D33" i="3"/>
  <c r="E32" i="3"/>
  <c r="D32" i="3"/>
  <c r="E31" i="3"/>
  <c r="D31" i="3"/>
  <c r="E30" i="3"/>
  <c r="D30" i="3"/>
  <c r="E29" i="3"/>
  <c r="D29" i="3"/>
  <c r="D25" i="3"/>
  <c r="D24" i="3"/>
  <c r="E23" i="3"/>
  <c r="E22" i="3"/>
  <c r="E21" i="3"/>
  <c r="D21" i="3"/>
  <c r="E20" i="3"/>
  <c r="D20" i="3"/>
  <c r="E19" i="3"/>
  <c r="D19" i="3"/>
  <c r="E18" i="3"/>
  <c r="D18" i="3"/>
  <c r="E17" i="3"/>
  <c r="D17" i="3"/>
  <c r="E16" i="3"/>
  <c r="D16" i="3"/>
  <c r="E15" i="3"/>
  <c r="D15" i="3"/>
  <c r="H9" i="3"/>
  <c r="G9" i="3"/>
  <c r="F9" i="3"/>
  <c r="E9" i="3"/>
  <c r="D9" i="3"/>
  <c r="C9" i="3"/>
  <c r="B9" i="3"/>
  <c r="H119" i="2"/>
  <c r="G119" i="2"/>
  <c r="F119" i="2"/>
  <c r="E119" i="2"/>
  <c r="D119" i="2"/>
  <c r="H118" i="2"/>
  <c r="G118" i="2"/>
  <c r="F118" i="2"/>
  <c r="E118" i="2"/>
  <c r="D118" i="2"/>
  <c r="H117" i="2"/>
  <c r="G117" i="2"/>
  <c r="F117" i="2"/>
  <c r="E117" i="2"/>
  <c r="D117" i="2"/>
  <c r="H116" i="2"/>
  <c r="G116" i="2"/>
  <c r="F116" i="2"/>
  <c r="E116" i="2"/>
  <c r="D116" i="2"/>
  <c r="H115" i="2"/>
  <c r="G115" i="2"/>
  <c r="F115" i="2"/>
  <c r="E115" i="2"/>
  <c r="D115" i="2"/>
  <c r="C112" i="2"/>
  <c r="C111" i="2"/>
  <c r="C110" i="2"/>
  <c r="C109" i="2"/>
  <c r="C108" i="2"/>
  <c r="H106" i="2"/>
  <c r="G106" i="2"/>
  <c r="F106" i="2"/>
  <c r="E106" i="2"/>
  <c r="D106" i="2"/>
  <c r="C106" i="2"/>
  <c r="H105" i="2"/>
  <c r="G105" i="2"/>
  <c r="F105" i="2"/>
  <c r="E105" i="2"/>
  <c r="D105" i="2"/>
  <c r="C105" i="2"/>
  <c r="H104" i="2"/>
  <c r="G104" i="2"/>
  <c r="F104" i="2"/>
  <c r="E104" i="2"/>
  <c r="D104" i="2"/>
  <c r="C104" i="2"/>
  <c r="H103" i="2"/>
  <c r="G103" i="2"/>
  <c r="F103" i="2"/>
  <c r="E103" i="2"/>
  <c r="D103" i="2"/>
  <c r="C103" i="2"/>
  <c r="H102" i="2"/>
  <c r="G102" i="2"/>
  <c r="F102" i="2"/>
  <c r="E102" i="2"/>
  <c r="D102" i="2"/>
  <c r="C102" i="2"/>
  <c r="H100" i="2"/>
  <c r="G100" i="2"/>
  <c r="F100" i="2"/>
  <c r="E100" i="2"/>
  <c r="D100" i="2"/>
  <c r="C100" i="2"/>
  <c r="H99" i="2"/>
  <c r="G99" i="2"/>
  <c r="F99" i="2"/>
  <c r="E99" i="2"/>
  <c r="D99" i="2"/>
  <c r="C99" i="2"/>
  <c r="H98" i="2"/>
  <c r="G98" i="2"/>
  <c r="F98" i="2"/>
  <c r="E98" i="2"/>
  <c r="D98" i="2"/>
  <c r="C98" i="2"/>
  <c r="H97" i="2"/>
  <c r="G97" i="2"/>
  <c r="F97" i="2"/>
  <c r="E97" i="2"/>
  <c r="D97" i="2"/>
  <c r="C97" i="2"/>
  <c r="H96" i="2"/>
  <c r="G96" i="2"/>
  <c r="F96" i="2"/>
  <c r="E96" i="2"/>
  <c r="D96" i="2"/>
  <c r="C96" i="2"/>
  <c r="H94" i="2"/>
  <c r="G94" i="2"/>
  <c r="F94" i="2"/>
  <c r="E94" i="2"/>
  <c r="D94" i="2"/>
  <c r="C94" i="2"/>
  <c r="H93" i="2"/>
  <c r="G93" i="2"/>
  <c r="F93" i="2"/>
  <c r="E93" i="2"/>
  <c r="D93" i="2"/>
  <c r="C93" i="2"/>
  <c r="H92" i="2"/>
  <c r="G92" i="2"/>
  <c r="F92" i="2"/>
  <c r="E92" i="2"/>
  <c r="D92" i="2"/>
  <c r="C92" i="2"/>
  <c r="H91" i="2"/>
  <c r="G91" i="2"/>
  <c r="F91" i="2"/>
  <c r="E91" i="2"/>
  <c r="D91" i="2"/>
  <c r="C91" i="2"/>
  <c r="H90" i="2"/>
  <c r="G90" i="2"/>
  <c r="F90" i="2"/>
  <c r="E90" i="2"/>
  <c r="D90" i="2"/>
  <c r="C90" i="2"/>
  <c r="H86" i="2"/>
  <c r="G86" i="2"/>
  <c r="F86" i="2"/>
  <c r="E86" i="2"/>
  <c r="D86" i="2"/>
  <c r="C86" i="2"/>
  <c r="C85" i="2"/>
  <c r="C84" i="2"/>
  <c r="H83" i="2"/>
  <c r="G83" i="2"/>
  <c r="F83" i="2"/>
  <c r="E83" i="2"/>
  <c r="D83" i="2"/>
  <c r="C83" i="2"/>
  <c r="C82" i="2"/>
  <c r="H80" i="2"/>
  <c r="G80" i="2"/>
  <c r="F80" i="2"/>
  <c r="E80" i="2"/>
  <c r="D80" i="2"/>
  <c r="C80" i="2"/>
  <c r="C79" i="2"/>
  <c r="C78" i="2"/>
  <c r="H77" i="2"/>
  <c r="G77" i="2"/>
  <c r="F77" i="2"/>
  <c r="E77" i="2"/>
  <c r="D77" i="2"/>
  <c r="C77" i="2"/>
  <c r="C76" i="2"/>
  <c r="H74" i="2"/>
  <c r="G74" i="2"/>
  <c r="F74" i="2"/>
  <c r="E74" i="2"/>
  <c r="D74" i="2"/>
  <c r="C74" i="2"/>
  <c r="C73" i="2"/>
  <c r="C72" i="2"/>
  <c r="H71" i="2"/>
  <c r="G71" i="2"/>
  <c r="F71" i="2"/>
  <c r="E71" i="2"/>
  <c r="D71" i="2"/>
  <c r="C71" i="2"/>
  <c r="C70" i="2"/>
  <c r="H68" i="2"/>
  <c r="G68" i="2"/>
  <c r="F68" i="2"/>
  <c r="E68" i="2"/>
  <c r="D68" i="2"/>
  <c r="C68" i="2"/>
  <c r="C67" i="2"/>
  <c r="C66" i="2"/>
  <c r="H65" i="2"/>
  <c r="G65" i="2"/>
  <c r="F65" i="2"/>
  <c r="E65" i="2"/>
  <c r="D65" i="2"/>
  <c r="C65" i="2"/>
  <c r="C64" i="2"/>
  <c r="H62" i="2"/>
  <c r="G62" i="2"/>
  <c r="F62" i="2"/>
  <c r="E62" i="2"/>
  <c r="D62" i="2"/>
  <c r="C62" i="2"/>
  <c r="C61" i="2"/>
  <c r="C60" i="2"/>
  <c r="H59" i="2"/>
  <c r="G59" i="2"/>
  <c r="F59" i="2"/>
  <c r="E59" i="2"/>
  <c r="D59" i="2"/>
  <c r="C59" i="2"/>
  <c r="C58" i="2"/>
  <c r="H56" i="2"/>
  <c r="G56" i="2"/>
  <c r="F56" i="2"/>
  <c r="E56" i="2"/>
  <c r="D56" i="2"/>
  <c r="C56" i="2"/>
  <c r="C55" i="2"/>
  <c r="C54" i="2"/>
  <c r="H53" i="2"/>
  <c r="G53" i="2"/>
  <c r="F53" i="2"/>
  <c r="E53" i="2"/>
  <c r="D53" i="2"/>
  <c r="C53" i="2"/>
  <c r="C52" i="2"/>
  <c r="H50" i="2"/>
  <c r="G50" i="2"/>
  <c r="F50" i="2"/>
  <c r="E50" i="2"/>
  <c r="D50" i="2"/>
  <c r="C50" i="2"/>
  <c r="C49" i="2"/>
  <c r="C48" i="2"/>
  <c r="H47" i="2"/>
  <c r="G47" i="2"/>
  <c r="F47" i="2"/>
  <c r="E47" i="2"/>
  <c r="D47" i="2"/>
  <c r="C47" i="2"/>
  <c r="C46" i="2"/>
  <c r="H44" i="2"/>
  <c r="G44" i="2"/>
  <c r="F44" i="2"/>
  <c r="E44" i="2"/>
  <c r="D44" i="2"/>
  <c r="C44" i="2"/>
  <c r="C43" i="2"/>
  <c r="C42" i="2"/>
  <c r="H41" i="2"/>
  <c r="G41" i="2"/>
  <c r="F41" i="2"/>
  <c r="E41" i="2"/>
  <c r="D41" i="2"/>
  <c r="C41" i="2"/>
  <c r="C40" i="2"/>
  <c r="H38" i="2"/>
  <c r="G38" i="2"/>
  <c r="F38" i="2"/>
  <c r="E38" i="2"/>
  <c r="D38" i="2"/>
  <c r="C38" i="2"/>
  <c r="C37" i="2"/>
  <c r="C36" i="2"/>
  <c r="H35" i="2"/>
  <c r="G35" i="2"/>
  <c r="F35" i="2"/>
  <c r="E35" i="2"/>
  <c r="D35" i="2"/>
  <c r="C35" i="2"/>
  <c r="C34" i="2"/>
  <c r="H32" i="2"/>
  <c r="G32" i="2"/>
  <c r="F32" i="2"/>
  <c r="E32" i="2"/>
  <c r="D32" i="2"/>
  <c r="C32" i="2"/>
  <c r="C31" i="2"/>
  <c r="C30" i="2"/>
  <c r="H29" i="2"/>
  <c r="G29" i="2"/>
  <c r="F29" i="2"/>
  <c r="E29" i="2"/>
  <c r="D29" i="2"/>
  <c r="C29" i="2"/>
  <c r="C28" i="2"/>
  <c r="H26" i="2"/>
  <c r="G26" i="2"/>
  <c r="F26" i="2"/>
  <c r="E26" i="2"/>
  <c r="D26" i="2"/>
  <c r="C26" i="2"/>
  <c r="C25" i="2"/>
  <c r="C24" i="2"/>
  <c r="H23" i="2"/>
  <c r="G23" i="2"/>
  <c r="F23" i="2"/>
  <c r="E23" i="2"/>
  <c r="D23" i="2"/>
  <c r="C23" i="2"/>
  <c r="C22" i="2"/>
  <c r="H20" i="2"/>
  <c r="G20" i="2"/>
  <c r="F20" i="2"/>
  <c r="E20" i="2"/>
  <c r="D20" i="2"/>
  <c r="C20" i="2"/>
  <c r="C19" i="2"/>
  <c r="C18" i="2"/>
  <c r="H17" i="2"/>
  <c r="G17" i="2"/>
  <c r="F17" i="2"/>
  <c r="E17" i="2"/>
  <c r="D17" i="2"/>
  <c r="C17" i="2"/>
  <c r="C16" i="2"/>
  <c r="H14" i="2"/>
  <c r="G14" i="2"/>
  <c r="F14" i="2"/>
  <c r="E14" i="2"/>
  <c r="D14" i="2"/>
  <c r="C14" i="2"/>
  <c r="C13" i="2"/>
  <c r="C12" i="2"/>
  <c r="H11" i="2"/>
  <c r="G11" i="2"/>
  <c r="F11" i="2"/>
  <c r="E11" i="2"/>
  <c r="D11" i="2"/>
  <c r="C11" i="2"/>
  <c r="C10" i="2"/>
  <c r="H8" i="2"/>
  <c r="G8" i="2"/>
  <c r="F8" i="2"/>
  <c r="E8" i="2"/>
  <c r="D8" i="2"/>
  <c r="C8" i="2"/>
  <c r="C7" i="2"/>
  <c r="C6" i="2"/>
  <c r="H5" i="2"/>
  <c r="G5" i="2"/>
  <c r="F5" i="2"/>
  <c r="E5" i="2"/>
  <c r="D5" i="2"/>
  <c r="C5" i="2"/>
  <c r="C4" i="2"/>
  <c r="I22" i="4"/>
  <c r="H22" i="4"/>
  <c r="G22" i="4"/>
  <c r="F22" i="4"/>
  <c r="E22" i="4"/>
  <c r="I18" i="4"/>
  <c r="H18" i="4"/>
  <c r="G18" i="4"/>
  <c r="F18" i="4"/>
  <c r="E18" i="4"/>
  <c r="D18" i="4"/>
  <c r="I17" i="4"/>
  <c r="H17" i="4"/>
  <c r="G17" i="4"/>
  <c r="F17" i="4"/>
  <c r="E17" i="4"/>
  <c r="D17" i="4"/>
  <c r="I16" i="4"/>
  <c r="H16" i="4"/>
  <c r="G16" i="4"/>
  <c r="F16" i="4"/>
  <c r="E16" i="4"/>
  <c r="D16" i="4"/>
  <c r="I15" i="4"/>
  <c r="H15" i="4"/>
  <c r="G15" i="4"/>
  <c r="F15" i="4"/>
  <c r="E15" i="4"/>
  <c r="D15" i="4"/>
  <c r="I14" i="4"/>
  <c r="H14" i="4"/>
  <c r="G14" i="4"/>
  <c r="F14" i="4"/>
  <c r="E14" i="4"/>
  <c r="D14" i="4"/>
  <c r="I13" i="4"/>
  <c r="H13" i="4"/>
  <c r="G13" i="4"/>
  <c r="F13" i="4"/>
  <c r="E13" i="4"/>
  <c r="D13" i="4"/>
  <c r="B13" i="4"/>
  <c r="I12" i="4"/>
  <c r="H12" i="4"/>
  <c r="G12" i="4"/>
  <c r="F12" i="4"/>
  <c r="E12" i="4"/>
  <c r="D12" i="4"/>
  <c r="I11" i="4"/>
  <c r="H11" i="4"/>
  <c r="G11" i="4"/>
  <c r="F11" i="4"/>
  <c r="E11" i="4"/>
  <c r="D11" i="4"/>
  <c r="I10" i="4"/>
  <c r="H10" i="4"/>
  <c r="G10" i="4"/>
  <c r="F10" i="4"/>
  <c r="E10" i="4"/>
  <c r="D10" i="4"/>
  <c r="B10" i="4"/>
  <c r="I9" i="4"/>
  <c r="H9" i="4"/>
  <c r="G9" i="4"/>
  <c r="F9" i="4"/>
  <c r="E9" i="4"/>
  <c r="D9" i="4"/>
  <c r="I8" i="4"/>
  <c r="H8" i="4"/>
  <c r="G8" i="4"/>
  <c r="F8" i="4"/>
  <c r="E8" i="4"/>
  <c r="D8" i="4"/>
  <c r="I7" i="4"/>
  <c r="H7" i="4"/>
  <c r="G7" i="4"/>
  <c r="F7" i="4"/>
  <c r="E7" i="4"/>
  <c r="D7" i="4"/>
  <c r="B7" i="4"/>
  <c r="I76" i="1"/>
  <c r="H76" i="1"/>
  <c r="G76" i="1"/>
  <c r="F76" i="1"/>
  <c r="E76" i="1"/>
  <c r="I73" i="1"/>
  <c r="H73" i="1"/>
  <c r="G73" i="1"/>
  <c r="F73" i="1"/>
  <c r="E73" i="1"/>
  <c r="I66" i="1"/>
  <c r="H66" i="1"/>
  <c r="G66" i="1"/>
  <c r="F66" i="1"/>
  <c r="E66" i="1"/>
  <c r="P62" i="1"/>
  <c r="O62" i="1"/>
  <c r="N62" i="1"/>
  <c r="M62" i="1"/>
  <c r="L62" i="1"/>
  <c r="K62" i="1"/>
  <c r="P61" i="1"/>
  <c r="O61" i="1"/>
  <c r="N61" i="1"/>
  <c r="M61" i="1"/>
  <c r="L61" i="1"/>
  <c r="K61" i="1"/>
  <c r="P60" i="1"/>
  <c r="O60" i="1"/>
  <c r="N60" i="1"/>
  <c r="M60" i="1"/>
  <c r="L60" i="1"/>
  <c r="K60" i="1"/>
  <c r="P59" i="1"/>
  <c r="O59" i="1"/>
  <c r="N59" i="1"/>
  <c r="M59" i="1"/>
  <c r="L59" i="1"/>
  <c r="K59" i="1"/>
  <c r="P58" i="1"/>
  <c r="O58" i="1"/>
  <c r="N58" i="1"/>
  <c r="M58" i="1"/>
  <c r="L58" i="1"/>
  <c r="K58" i="1"/>
  <c r="P57" i="1"/>
  <c r="O57" i="1"/>
  <c r="N57" i="1"/>
  <c r="M57" i="1"/>
  <c r="L57" i="1"/>
  <c r="K57" i="1"/>
  <c r="P56" i="1"/>
  <c r="O56" i="1"/>
  <c r="N56" i="1"/>
  <c r="M56" i="1"/>
  <c r="L56" i="1"/>
  <c r="I52" i="1"/>
  <c r="H52" i="1"/>
  <c r="G52" i="1"/>
  <c r="F52" i="1"/>
  <c r="E52" i="1"/>
  <c r="I48" i="1"/>
  <c r="H48" i="1"/>
  <c r="G48" i="1"/>
  <c r="F48" i="1"/>
  <c r="E48" i="1"/>
  <c r="D48" i="1"/>
  <c r="I47" i="1"/>
  <c r="H47" i="1"/>
  <c r="G47" i="1"/>
  <c r="F47" i="1"/>
  <c r="E47" i="1"/>
  <c r="D47" i="1"/>
  <c r="I46" i="1"/>
  <c r="H46" i="1"/>
  <c r="G46" i="1"/>
  <c r="F46" i="1"/>
  <c r="E46" i="1"/>
  <c r="D46"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40" i="1"/>
  <c r="H40" i="1"/>
  <c r="G40" i="1"/>
  <c r="F40" i="1"/>
  <c r="E40" i="1"/>
  <c r="D40"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4" i="1"/>
  <c r="H34" i="1"/>
  <c r="G34" i="1"/>
  <c r="F34" i="1"/>
  <c r="E34" i="1"/>
  <c r="D34" i="1"/>
  <c r="I33" i="1"/>
  <c r="H33" i="1"/>
  <c r="G33" i="1"/>
  <c r="F33" i="1"/>
  <c r="E33" i="1"/>
  <c r="D33" i="1"/>
  <c r="I32" i="1"/>
  <c r="H32" i="1"/>
  <c r="G32" i="1"/>
  <c r="F32" i="1"/>
  <c r="E32" i="1"/>
  <c r="D32" i="1"/>
  <c r="I31" i="1"/>
  <c r="H31" i="1"/>
  <c r="G31" i="1"/>
  <c r="F31" i="1"/>
  <c r="E31" i="1"/>
  <c r="D31" i="1"/>
  <c r="I30" i="1"/>
  <c r="H30" i="1"/>
  <c r="G30" i="1"/>
  <c r="F30" i="1"/>
  <c r="E30" i="1"/>
  <c r="D30" i="1"/>
  <c r="I29" i="1"/>
  <c r="H29" i="1"/>
  <c r="G29" i="1"/>
  <c r="F29" i="1"/>
  <c r="E29" i="1"/>
  <c r="D29" i="1"/>
  <c r="I28" i="1"/>
  <c r="H28" i="1"/>
  <c r="G28" i="1"/>
  <c r="F28" i="1"/>
  <c r="E28" i="1"/>
  <c r="D28" i="1"/>
  <c r="I27" i="1"/>
  <c r="H27" i="1"/>
  <c r="G27" i="1"/>
  <c r="F27" i="1"/>
  <c r="E27" i="1"/>
  <c r="D27" i="1"/>
  <c r="I26" i="1"/>
  <c r="H26" i="1"/>
  <c r="G26" i="1"/>
  <c r="F26" i="1"/>
  <c r="E26" i="1"/>
  <c r="D26" i="1"/>
  <c r="I25" i="1"/>
  <c r="H25" i="1"/>
  <c r="G25" i="1"/>
  <c r="F25" i="1"/>
  <c r="E25" i="1"/>
  <c r="D25" i="1"/>
  <c r="I24" i="1"/>
  <c r="H24" i="1"/>
  <c r="G24" i="1"/>
  <c r="F24" i="1"/>
  <c r="E24" i="1"/>
  <c r="D24" i="1"/>
  <c r="I23" i="1"/>
  <c r="H23" i="1"/>
  <c r="G23" i="1"/>
  <c r="F23" i="1"/>
  <c r="E23" i="1"/>
  <c r="D23" i="1"/>
  <c r="I22" i="1"/>
  <c r="H22" i="1"/>
  <c r="G22" i="1"/>
  <c r="F22" i="1"/>
  <c r="E22" i="1"/>
  <c r="D22" i="1"/>
  <c r="B22" i="1"/>
  <c r="I21" i="1"/>
  <c r="H21" i="1"/>
  <c r="G21" i="1"/>
  <c r="F21" i="1"/>
  <c r="E21" i="1"/>
  <c r="D21" i="1"/>
  <c r="I20" i="1"/>
  <c r="H20" i="1"/>
  <c r="G20" i="1"/>
  <c r="F20" i="1"/>
  <c r="E20" i="1"/>
  <c r="D20" i="1"/>
  <c r="I19" i="1"/>
  <c r="H19" i="1"/>
  <c r="G19" i="1"/>
  <c r="F19" i="1"/>
  <c r="E19" i="1"/>
  <c r="D19" i="1"/>
  <c r="B19" i="1"/>
  <c r="I18" i="1"/>
  <c r="H18" i="1"/>
  <c r="G18" i="1"/>
  <c r="F18" i="1"/>
  <c r="E18" i="1"/>
  <c r="D18" i="1"/>
  <c r="I17" i="1"/>
  <c r="H17" i="1"/>
  <c r="G17" i="1"/>
  <c r="F17" i="1"/>
  <c r="E17" i="1"/>
  <c r="D17" i="1"/>
  <c r="I16" i="1"/>
  <c r="H16" i="1"/>
  <c r="G16" i="1"/>
  <c r="F16" i="1"/>
  <c r="E16" i="1"/>
  <c r="D16" i="1"/>
  <c r="B16" i="1"/>
  <c r="I15" i="1"/>
  <c r="H15" i="1"/>
  <c r="G15" i="1"/>
  <c r="F15" i="1"/>
  <c r="E15" i="1"/>
  <c r="D15" i="1"/>
  <c r="I14" i="1"/>
  <c r="H14" i="1"/>
  <c r="G14" i="1"/>
  <c r="F14" i="1"/>
  <c r="E14" i="1"/>
  <c r="D14" i="1"/>
  <c r="I13" i="1"/>
  <c r="H13" i="1"/>
  <c r="G13" i="1"/>
  <c r="F13" i="1"/>
  <c r="E13" i="1"/>
  <c r="D13" i="1"/>
  <c r="B13" i="1"/>
  <c r="I12" i="1"/>
  <c r="H12" i="1"/>
  <c r="G12" i="1"/>
  <c r="F12" i="1"/>
  <c r="E12" i="1"/>
  <c r="D12" i="1"/>
  <c r="I11" i="1"/>
  <c r="H11" i="1"/>
  <c r="G11" i="1"/>
  <c r="F11" i="1"/>
  <c r="E11" i="1"/>
  <c r="D11" i="1"/>
  <c r="I10" i="1"/>
  <c r="H10" i="1"/>
  <c r="G10" i="1"/>
  <c r="F10" i="1"/>
  <c r="E10" i="1"/>
  <c r="D10" i="1"/>
  <c r="B10" i="1"/>
  <c r="I9" i="1"/>
  <c r="H9" i="1"/>
  <c r="G9" i="1"/>
  <c r="F9" i="1"/>
  <c r="E9" i="1"/>
  <c r="D9" i="1"/>
  <c r="I8" i="1"/>
  <c r="H8" i="1"/>
  <c r="G8" i="1"/>
  <c r="F8" i="1"/>
  <c r="E8" i="1"/>
  <c r="D8" i="1"/>
  <c r="I7" i="1"/>
  <c r="H7" i="1"/>
  <c r="G7" i="1"/>
  <c r="F7" i="1"/>
  <c r="E7" i="1"/>
  <c r="D7" i="1"/>
  <c r="B7" i="1"/>
</calcChain>
</file>

<file path=xl/comments1.xml><?xml version="1.0" encoding="utf-8"?>
<comments xmlns="http://schemas.openxmlformats.org/spreadsheetml/2006/main">
  <authors>
    <author>5010164</author>
  </authors>
  <commentList>
    <comment ref="D4" authorId="0" shapeId="0">
      <text>
        <r>
          <rPr>
            <sz val="11"/>
            <rFont val="ＭＳ Ｐゴシック"/>
            <family val="3"/>
            <charset val="128"/>
          </rPr>
          <t>20aは苗木</t>
        </r>
      </text>
    </comment>
  </commentList>
</comments>
</file>

<file path=xl/sharedStrings.xml><?xml version="1.0" encoding="utf-8"?>
<sst xmlns="http://schemas.openxmlformats.org/spreadsheetml/2006/main" count="446" uniqueCount="130">
  <si>
    <t>(R4年1月～
R4年12月)</t>
  </si>
  <si>
    <t>普通ポンカン</t>
    <rPh sb="0" eb="2">
      <t>フツウ</t>
    </rPh>
    <phoneticPr fontId="19"/>
  </si>
  <si>
    <t>別紙様式第２－１号　別添１</t>
    <rPh sb="0" eb="2">
      <t>ベッシ</t>
    </rPh>
    <rPh sb="2" eb="4">
      <t>ヨウシキ</t>
    </rPh>
    <rPh sb="4" eb="5">
      <t>ダイ</t>
    </rPh>
    <rPh sb="8" eb="9">
      <t>ゴウ</t>
    </rPh>
    <rPh sb="10" eb="12">
      <t>ベッテン</t>
    </rPh>
    <phoneticPr fontId="19"/>
  </si>
  <si>
    <t>5年目(計画・実績)</t>
    <rPh sb="4" eb="6">
      <t>ケイカク</t>
    </rPh>
    <rPh sb="7" eb="9">
      <t>ジッセキ</t>
    </rPh>
    <phoneticPr fontId="19"/>
  </si>
  <si>
    <t>2年目</t>
    <rPh sb="1" eb="3">
      <t>ネンメ</t>
    </rPh>
    <phoneticPr fontId="19"/>
  </si>
  <si>
    <t>収　支　計　画</t>
    <rPh sb="0" eb="1">
      <t>シュウ</t>
    </rPh>
    <rPh sb="2" eb="3">
      <t>シ</t>
    </rPh>
    <rPh sb="4" eb="5">
      <t>ケイ</t>
    </rPh>
    <rPh sb="6" eb="7">
      <t>ガ</t>
    </rPh>
    <phoneticPr fontId="19"/>
  </si>
  <si>
    <t>経営開始</t>
    <rPh sb="0" eb="2">
      <t>ケイエイ</t>
    </rPh>
    <rPh sb="2" eb="4">
      <t>カイシ</t>
    </rPh>
    <phoneticPr fontId="19"/>
  </si>
  <si>
    <t>1年目(計画・実績)</t>
    <rPh sb="4" eb="6">
      <t>ケイカク</t>
    </rPh>
    <rPh sb="7" eb="9">
      <t>ジッセキ</t>
    </rPh>
    <phoneticPr fontId="19"/>
  </si>
  <si>
    <t>肥料費</t>
    <rPh sb="0" eb="2">
      <t>ヒリョウ</t>
    </rPh>
    <rPh sb="2" eb="3">
      <t>ヒ</t>
    </rPh>
    <phoneticPr fontId="19"/>
  </si>
  <si>
    <t>3年目(計画・実績)</t>
    <rPh sb="4" eb="6">
      <t>ケイカク</t>
    </rPh>
    <rPh sb="7" eb="9">
      <t>ジッセキ</t>
    </rPh>
    <phoneticPr fontId="19"/>
  </si>
  <si>
    <t>2年目(計画・実績)</t>
    <rPh sb="4" eb="6">
      <t>ケイカク</t>
    </rPh>
    <rPh sb="7" eb="9">
      <t>ジッセキ</t>
    </rPh>
    <phoneticPr fontId="19"/>
  </si>
  <si>
    <t>12/12</t>
  </si>
  <si>
    <t>修繕費</t>
    <rPh sb="0" eb="3">
      <t>シュウゼンヒ</t>
    </rPh>
    <phoneticPr fontId="19"/>
  </si>
  <si>
    <t>動力光熱費</t>
    <rPh sb="0" eb="2">
      <t>ドウリョク</t>
    </rPh>
    <rPh sb="2" eb="5">
      <t>コウネツヒ</t>
    </rPh>
    <phoneticPr fontId="19"/>
  </si>
  <si>
    <t>農薬衛生費</t>
    <rPh sb="0" eb="2">
      <t>ノウヤク</t>
    </rPh>
    <rPh sb="2" eb="5">
      <t>エイセイヒ</t>
    </rPh>
    <phoneticPr fontId="19"/>
  </si>
  <si>
    <t>4年目(計画・実績)</t>
    <rPh sb="4" eb="6">
      <t>ケイカク</t>
    </rPh>
    <rPh sb="7" eb="9">
      <t>ジッセキ</t>
    </rPh>
    <phoneticPr fontId="19"/>
  </si>
  <si>
    <t>(R3年5月～
R3年12月)</t>
  </si>
  <si>
    <t>R5</t>
  </si>
  <si>
    <t>(R5年1月～
R5年12月)</t>
  </si>
  <si>
    <t>種苗費</t>
    <rPh sb="0" eb="2">
      <t>シュビョウ</t>
    </rPh>
    <rPh sb="2" eb="3">
      <t>ヒ</t>
    </rPh>
    <phoneticPr fontId="19"/>
  </si>
  <si>
    <t>農業収入</t>
    <rPh sb="0" eb="1">
      <t>ノウ</t>
    </rPh>
    <rPh sb="1" eb="2">
      <t>ギョウ</t>
    </rPh>
    <rPh sb="2" eb="4">
      <t>シュウニュウ</t>
    </rPh>
    <phoneticPr fontId="19"/>
  </si>
  <si>
    <t>宮川早生</t>
    <rPh sb="0" eb="2">
      <t>ミヤガワ</t>
    </rPh>
    <rPh sb="2" eb="4">
      <t>ワセ</t>
    </rPh>
    <phoneticPr fontId="19"/>
  </si>
  <si>
    <t>(R6年1月～
R6年12月)</t>
  </si>
  <si>
    <t>(R7年1月～
R7年12月)</t>
  </si>
  <si>
    <t>経営規模(a)</t>
    <rPh sb="0" eb="2">
      <t>ケイエイ</t>
    </rPh>
    <rPh sb="2" eb="4">
      <t>キボ</t>
    </rPh>
    <phoneticPr fontId="19"/>
  </si>
  <si>
    <t>分類</t>
    <rPh sb="0" eb="2">
      <t>ブンルイ</t>
    </rPh>
    <phoneticPr fontId="19"/>
  </si>
  <si>
    <t>売上高</t>
    <rPh sb="0" eb="2">
      <t>ウリアゲ</t>
    </rPh>
    <rPh sb="2" eb="3">
      <t>ダカ</t>
    </rPh>
    <phoneticPr fontId="19"/>
  </si>
  <si>
    <t>農業経営費</t>
    <rPh sb="0" eb="2">
      <t>ノウギョウ</t>
    </rPh>
    <rPh sb="2" eb="4">
      <t>ケイエイ</t>
    </rPh>
    <rPh sb="4" eb="5">
      <t>ヒ</t>
    </rPh>
    <phoneticPr fontId="19"/>
  </si>
  <si>
    <t>生産量(kg)</t>
    <rPh sb="0" eb="2">
      <t>セイサン</t>
    </rPh>
    <rPh sb="2" eb="3">
      <t>リョウ</t>
    </rPh>
    <phoneticPr fontId="19"/>
  </si>
  <si>
    <t>その他作目</t>
    <rPh sb="2" eb="3">
      <t>タ</t>
    </rPh>
    <rPh sb="3" eb="5">
      <t>サクモク</t>
    </rPh>
    <phoneticPr fontId="19"/>
  </si>
  <si>
    <t>農業関連事業
（　　　　）</t>
    <rPh sb="0" eb="2">
      <t>ノウギョウ</t>
    </rPh>
    <rPh sb="2" eb="4">
      <t>カンレン</t>
    </rPh>
    <rPh sb="4" eb="6">
      <t>ジギョウ</t>
    </rPh>
    <phoneticPr fontId="19"/>
  </si>
  <si>
    <t>農具費</t>
    <rPh sb="0" eb="2">
      <t>ノウグ</t>
    </rPh>
    <rPh sb="2" eb="3">
      <t>ヒ</t>
    </rPh>
    <phoneticPr fontId="19"/>
  </si>
  <si>
    <t>収入計①（資金を除く）</t>
    <rPh sb="0" eb="2">
      <t>シュウニュウ</t>
    </rPh>
    <rPh sb="2" eb="3">
      <t>ケイ</t>
    </rPh>
    <rPh sb="5" eb="6">
      <t>シ</t>
    </rPh>
    <rPh sb="6" eb="7">
      <t>カネ</t>
    </rPh>
    <rPh sb="8" eb="9">
      <t>ノゾ</t>
    </rPh>
    <phoneticPr fontId="19"/>
  </si>
  <si>
    <t>諸材料費</t>
    <rPh sb="0" eb="1">
      <t>ショ</t>
    </rPh>
    <rPh sb="1" eb="4">
      <t>ザイリョウヒ</t>
    </rPh>
    <phoneticPr fontId="19"/>
  </si>
  <si>
    <t>１：</t>
  </si>
  <si>
    <t>7年</t>
    <rPh sb="1" eb="2">
      <t>ネン</t>
    </rPh>
    <phoneticPr fontId="19"/>
  </si>
  <si>
    <t>作業衣料費</t>
    <rPh sb="0" eb="2">
      <t>サギョウ</t>
    </rPh>
    <rPh sb="2" eb="4">
      <t>イリョウ</t>
    </rPh>
    <rPh sb="4" eb="5">
      <t>ヒ</t>
    </rPh>
    <phoneticPr fontId="19"/>
  </si>
  <si>
    <t>農業共済掛金</t>
    <rPh sb="0" eb="2">
      <t>ノウギョウ</t>
    </rPh>
    <rPh sb="2" eb="4">
      <t>キョウサイ</t>
    </rPh>
    <rPh sb="4" eb="6">
      <t>カケキン</t>
    </rPh>
    <phoneticPr fontId="19"/>
  </si>
  <si>
    <t>※既に農業経営を開始している場合は実績を記載</t>
    <rPh sb="1" eb="2">
      <t>スデ</t>
    </rPh>
    <rPh sb="3" eb="5">
      <t>ノウギョウ</t>
    </rPh>
    <rPh sb="5" eb="7">
      <t>ケイエイ</t>
    </rPh>
    <rPh sb="8" eb="10">
      <t>カイシ</t>
    </rPh>
    <rPh sb="14" eb="16">
      <t>バアイ</t>
    </rPh>
    <rPh sb="17" eb="19">
      <t>ジッセキ</t>
    </rPh>
    <rPh sb="20" eb="22">
      <t>キサイ</t>
    </rPh>
    <phoneticPr fontId="19"/>
  </si>
  <si>
    <t>雇人費</t>
    <rPh sb="0" eb="1">
      <t>コ</t>
    </rPh>
    <rPh sb="1" eb="2">
      <t>ヒト</t>
    </rPh>
    <rPh sb="2" eb="3">
      <t>ヒ</t>
    </rPh>
    <phoneticPr fontId="19"/>
  </si>
  <si>
    <t>減価償却費</t>
    <rPh sb="0" eb="2">
      <t>ゲンカ</t>
    </rPh>
    <rPh sb="2" eb="4">
      <t>ショウキャク</t>
    </rPh>
    <rPh sb="4" eb="5">
      <t>ヒ</t>
    </rPh>
    <phoneticPr fontId="19"/>
  </si>
  <si>
    <t>（法律の改正等で内容が変わることがあるので必ず申請者本人が確認してください）</t>
    <rPh sb="21" eb="22">
      <t>カナラ</t>
    </rPh>
    <rPh sb="23" eb="26">
      <t>シンセイシャ</t>
    </rPh>
    <rPh sb="26" eb="28">
      <t>ホンニン</t>
    </rPh>
    <rPh sb="29" eb="31">
      <t>カクニン</t>
    </rPh>
    <phoneticPr fontId="19"/>
  </si>
  <si>
    <t>専従者給与</t>
    <rPh sb="0" eb="3">
      <t>センジュウシャ</t>
    </rPh>
    <rPh sb="3" eb="5">
      <t>キュウヨ</t>
    </rPh>
    <phoneticPr fontId="19"/>
  </si>
  <si>
    <r>
      <t>モノレール(動力車2・台車4)</t>
    </r>
    <r>
      <rPr>
        <sz val="11"/>
        <rFont val="ＭＳ 明朝"/>
        <family val="1"/>
        <charset val="128"/>
      </rPr>
      <t xml:space="preserve">
150万円/15a（3年目）</t>
    </r>
    <rPh sb="6" eb="9">
      <t>ドウリョクシャ</t>
    </rPh>
    <rPh sb="11" eb="13">
      <t>ダイシャ</t>
    </rPh>
    <rPh sb="19" eb="21">
      <t>マンエン</t>
    </rPh>
    <rPh sb="27" eb="29">
      <t>ネンメ</t>
    </rPh>
    <phoneticPr fontId="19"/>
  </si>
  <si>
    <t>図書・通信費</t>
    <rPh sb="0" eb="2">
      <t>トショ</t>
    </rPh>
    <rPh sb="3" eb="6">
      <t>ツウシンヒ</t>
    </rPh>
    <phoneticPr fontId="19"/>
  </si>
  <si>
    <t>会費・研修費</t>
    <rPh sb="0" eb="2">
      <t>カイヒ</t>
    </rPh>
    <rPh sb="3" eb="6">
      <t>ケンシュウヒ</t>
    </rPh>
    <phoneticPr fontId="19"/>
  </si>
  <si>
    <t>支出計②</t>
    <rPh sb="0" eb="2">
      <t>シシュツ</t>
    </rPh>
    <rPh sb="2" eb="3">
      <t>ケイ</t>
    </rPh>
    <phoneticPr fontId="19"/>
  </si>
  <si>
    <t>愛媛果試第28号</t>
    <rPh sb="0" eb="2">
      <t>エヒメ</t>
    </rPh>
    <rPh sb="2" eb="3">
      <t>カ</t>
    </rPh>
    <rPh sb="3" eb="4">
      <t>ココロミ</t>
    </rPh>
    <rPh sb="4" eb="5">
      <t>ダイ</t>
    </rPh>
    <rPh sb="7" eb="8">
      <t>ゴウ</t>
    </rPh>
    <phoneticPr fontId="19"/>
  </si>
  <si>
    <t>【参考】設備投資
（内容・金額）</t>
    <rPh sb="1" eb="3">
      <t>サンコウ</t>
    </rPh>
    <rPh sb="4" eb="6">
      <t>セツビ</t>
    </rPh>
    <rPh sb="6" eb="8">
      <t>トウシ</t>
    </rPh>
    <rPh sb="10" eb="12">
      <t>ナイヨウ</t>
    </rPh>
    <rPh sb="13" eb="15">
      <t>キンガク</t>
    </rPh>
    <phoneticPr fontId="19"/>
  </si>
  <si>
    <t>２：</t>
  </si>
  <si>
    <t>雑費</t>
    <rPh sb="0" eb="2">
      <t>ザッピ</t>
    </rPh>
    <phoneticPr fontId="19"/>
  </si>
  <si>
    <t>モノレール150万（3年目）
雨除けハウス150万（4年目</t>
    <rPh sb="8" eb="9">
      <t>ヨロズ</t>
    </rPh>
    <rPh sb="11" eb="13">
      <t>ネンメ</t>
    </rPh>
    <rPh sb="15" eb="16">
      <t>アメ</t>
    </rPh>
    <rPh sb="16" eb="17">
      <t>ヨ</t>
    </rPh>
    <rPh sb="24" eb="25">
      <t>ヨロズ</t>
    </rPh>
    <rPh sb="27" eb="29">
      <t>ネンメ</t>
    </rPh>
    <phoneticPr fontId="19"/>
  </si>
  <si>
    <t>0.08680
130,200円</t>
    <rPh sb="15" eb="16">
      <t>エン</t>
    </rPh>
    <phoneticPr fontId="19"/>
  </si>
  <si>
    <t>所得計①－②</t>
    <rPh sb="0" eb="2">
      <t>ショトク</t>
    </rPh>
    <rPh sb="2" eb="3">
      <t>ケイ</t>
    </rPh>
    <phoneticPr fontId="19"/>
  </si>
  <si>
    <t>温州みかん</t>
    <rPh sb="0" eb="2">
      <t>ウンシュウ</t>
    </rPh>
    <phoneticPr fontId="19"/>
  </si>
  <si>
    <t>品種名</t>
    <rPh sb="0" eb="2">
      <t>ヒンシュ</t>
    </rPh>
    <rPh sb="2" eb="3">
      <t>メイ</t>
    </rPh>
    <phoneticPr fontId="19"/>
  </si>
  <si>
    <t>柑橘分類</t>
    <rPh sb="0" eb="2">
      <t>カンキツ</t>
    </rPh>
    <rPh sb="2" eb="4">
      <t>ブンルイ</t>
    </rPh>
    <phoneticPr fontId="19"/>
  </si>
  <si>
    <t>分類番号</t>
    <rPh sb="0" eb="2">
      <t>ブンルイ</t>
    </rPh>
    <rPh sb="2" eb="4">
      <t>バンゴウ</t>
    </rPh>
    <phoneticPr fontId="19"/>
  </si>
  <si>
    <t>南柑20号</t>
    <rPh sb="0" eb="1">
      <t>ミナミ</t>
    </rPh>
    <rPh sb="1" eb="2">
      <t>カン</t>
    </rPh>
    <rPh sb="4" eb="5">
      <t>ゴウ</t>
    </rPh>
    <phoneticPr fontId="19"/>
  </si>
  <si>
    <t>代表品種</t>
    <rPh sb="0" eb="2">
      <t>ダイヒョウ</t>
    </rPh>
    <rPh sb="2" eb="4">
      <t>ヒンシュ</t>
    </rPh>
    <phoneticPr fontId="19"/>
  </si>
  <si>
    <t>早生温州</t>
    <rPh sb="0" eb="2">
      <t>ワセ</t>
    </rPh>
    <rPh sb="2" eb="4">
      <t>ウンシュウ</t>
    </rPh>
    <phoneticPr fontId="19"/>
  </si>
  <si>
    <t>日南1号</t>
    <rPh sb="0" eb="2">
      <t>ニチナン</t>
    </rPh>
    <rPh sb="3" eb="4">
      <t>ゴウ</t>
    </rPh>
    <phoneticPr fontId="19"/>
  </si>
  <si>
    <t>計</t>
    <rPh sb="0" eb="1">
      <t>ケイ</t>
    </rPh>
    <phoneticPr fontId="19"/>
  </si>
  <si>
    <t>反収（ｋｇ）</t>
    <rPh sb="0" eb="1">
      <t>タン</t>
    </rPh>
    <rPh sb="1" eb="2">
      <t>シュウ</t>
    </rPh>
    <phoneticPr fontId="19"/>
  </si>
  <si>
    <t>レモン</t>
  </si>
  <si>
    <t>青島温州</t>
    <rPh sb="0" eb="2">
      <t>アオシマ</t>
    </rPh>
    <rPh sb="2" eb="4">
      <t>ウンシュウ</t>
    </rPh>
    <phoneticPr fontId="19"/>
  </si>
  <si>
    <t>南柑20号</t>
    <rPh sb="0" eb="2">
      <t>ナンカン</t>
    </rPh>
    <rPh sb="4" eb="5">
      <t>ゴウ</t>
    </rPh>
    <phoneticPr fontId="19"/>
  </si>
  <si>
    <t>など</t>
  </si>
  <si>
    <t>中晩柑</t>
    <rPh sb="0" eb="1">
      <t>チュウ</t>
    </rPh>
    <rPh sb="1" eb="3">
      <t>バンカン</t>
    </rPh>
    <phoneticPr fontId="19"/>
  </si>
  <si>
    <t>甘夏</t>
    <rPh sb="0" eb="2">
      <t>アマナツ</t>
    </rPh>
    <phoneticPr fontId="19"/>
  </si>
  <si>
    <t>河内晩柑</t>
    <rPh sb="0" eb="2">
      <t>カワチ</t>
    </rPh>
    <rPh sb="2" eb="4">
      <t>バンカン</t>
    </rPh>
    <phoneticPr fontId="19"/>
  </si>
  <si>
    <t>清見</t>
    <rPh sb="0" eb="2">
      <t>キヨミ</t>
    </rPh>
    <phoneticPr fontId="19"/>
  </si>
  <si>
    <t>8年目</t>
    <rPh sb="1" eb="3">
      <t>ネンメ</t>
    </rPh>
    <phoneticPr fontId="19"/>
  </si>
  <si>
    <t>不知火</t>
    <rPh sb="0" eb="3">
      <t>シラヌイ</t>
    </rPh>
    <phoneticPr fontId="19"/>
  </si>
  <si>
    <t>ポンカン</t>
  </si>
  <si>
    <t>タロッコ</t>
  </si>
  <si>
    <t>モロ</t>
  </si>
  <si>
    <t>甘平</t>
    <rPh sb="0" eb="2">
      <t>カンペイ</t>
    </rPh>
    <phoneticPr fontId="19"/>
  </si>
  <si>
    <t>３：</t>
  </si>
  <si>
    <t>香酸柑橘</t>
    <rPh sb="0" eb="1">
      <t>カオル</t>
    </rPh>
    <rPh sb="1" eb="2">
      <t>サン</t>
    </rPh>
    <rPh sb="2" eb="4">
      <t>カンキツ</t>
    </rPh>
    <phoneticPr fontId="19"/>
  </si>
  <si>
    <t>ゆず</t>
  </si>
  <si>
    <t>ライム</t>
  </si>
  <si>
    <t>すだち</t>
  </si>
  <si>
    <t>中晩柑類</t>
    <rPh sb="0" eb="1">
      <t>チュウ</t>
    </rPh>
    <rPh sb="1" eb="2">
      <t>バン</t>
    </rPh>
    <rPh sb="2" eb="3">
      <t>カン</t>
    </rPh>
    <rPh sb="3" eb="4">
      <t>ルイ</t>
    </rPh>
    <phoneticPr fontId="19"/>
  </si>
  <si>
    <t>香酸柑橘類</t>
    <rPh sb="0" eb="1">
      <t>コウ</t>
    </rPh>
    <rPh sb="1" eb="2">
      <t>サン</t>
    </rPh>
    <rPh sb="2" eb="4">
      <t>カンキツ</t>
    </rPh>
    <rPh sb="4" eb="5">
      <t>ルイ</t>
    </rPh>
    <phoneticPr fontId="19"/>
  </si>
  <si>
    <t>総合計</t>
    <rPh sb="0" eb="1">
      <t>ソウ</t>
    </rPh>
    <rPh sb="1" eb="3">
      <t>ゴウケイ</t>
    </rPh>
    <phoneticPr fontId="19"/>
  </si>
  <si>
    <t>減価償却試算</t>
    <rPh sb="0" eb="2">
      <t>ゲンカ</t>
    </rPh>
    <rPh sb="2" eb="4">
      <t>ショウキャク</t>
    </rPh>
    <rPh sb="4" eb="6">
      <t>シサン</t>
    </rPh>
    <phoneticPr fontId="19"/>
  </si>
  <si>
    <t>R3</t>
  </si>
  <si>
    <t>R4</t>
  </si>
  <si>
    <t>R6</t>
  </si>
  <si>
    <t>R7</t>
  </si>
  <si>
    <t>使用月数</t>
    <rPh sb="0" eb="2">
      <t>シヨウ</t>
    </rPh>
    <rPh sb="2" eb="4">
      <t>ツキスウ</t>
    </rPh>
    <phoneticPr fontId="19"/>
  </si>
  <si>
    <t>8/12</t>
  </si>
  <si>
    <t>減価償却額</t>
    <rPh sb="0" eb="2">
      <t>ゲンカ</t>
    </rPh>
    <rPh sb="2" eb="4">
      <t>ショウキャク</t>
    </rPh>
    <rPh sb="4" eb="5">
      <t>ガク</t>
    </rPh>
    <phoneticPr fontId="19"/>
  </si>
  <si>
    <t>雨除ﾊｳｽ
200万円/15a（4年目）</t>
    <rPh sb="0" eb="1">
      <t>アメ</t>
    </rPh>
    <rPh sb="1" eb="2">
      <t>ヨ</t>
    </rPh>
    <rPh sb="9" eb="11">
      <t>マンエン</t>
    </rPh>
    <rPh sb="17" eb="19">
      <t>ネンメ</t>
    </rPh>
    <phoneticPr fontId="19"/>
  </si>
  <si>
    <t>単価（円/ｋｇ）</t>
    <rPh sb="0" eb="2">
      <t>タンカ</t>
    </rPh>
    <rPh sb="3" eb="4">
      <t>エン</t>
    </rPh>
    <phoneticPr fontId="19"/>
  </si>
  <si>
    <t>青色申告特別控除</t>
    <rPh sb="0" eb="2">
      <t>アオイロ</t>
    </rPh>
    <rPh sb="2" eb="4">
      <t>シンコク</t>
    </rPh>
    <rPh sb="4" eb="6">
      <t>トクベツ</t>
    </rPh>
    <rPh sb="6" eb="8">
      <t>コウジョ</t>
    </rPh>
    <phoneticPr fontId="19"/>
  </si>
  <si>
    <t>7年目</t>
    <rPh sb="1" eb="3">
      <t>ネンメ</t>
    </rPh>
    <phoneticPr fontId="19"/>
  </si>
  <si>
    <t>減価償却試算</t>
  </si>
  <si>
    <t>収入計①（資金を除く）</t>
    <rPh sb="0" eb="2">
      <t>シュウニュウ</t>
    </rPh>
    <rPh sb="2" eb="3">
      <t>ケイ</t>
    </rPh>
    <rPh sb="5" eb="7">
      <t>シキン</t>
    </rPh>
    <rPh sb="8" eb="9">
      <t>ノゾ</t>
    </rPh>
    <phoneticPr fontId="19"/>
  </si>
  <si>
    <t>0.200
(0.250)</t>
  </si>
  <si>
    <t>氏名</t>
    <rPh sb="0" eb="2">
      <t>シメイ</t>
    </rPh>
    <phoneticPr fontId="19"/>
  </si>
  <si>
    <t>品種別詳細表：（氏名：        ）</t>
    <rPh sb="0" eb="3">
      <t>ヒンシュベツ</t>
    </rPh>
    <rPh sb="3" eb="5">
      <t>ショウサイ</t>
    </rPh>
    <rPh sb="5" eb="6">
      <t>ヒョウ</t>
    </rPh>
    <rPh sb="8" eb="10">
      <t>シメイ</t>
    </rPh>
    <phoneticPr fontId="19"/>
  </si>
  <si>
    <t>耐用年数</t>
    <rPh sb="0" eb="2">
      <t>タイヨウ</t>
    </rPh>
    <rPh sb="2" eb="4">
      <t>ネンスウ</t>
    </rPh>
    <phoneticPr fontId="19"/>
  </si>
  <si>
    <t>年率
又は
年額</t>
    <rPh sb="0" eb="2">
      <t>ネンリツ</t>
    </rPh>
    <rPh sb="3" eb="4">
      <t>マタ</t>
    </rPh>
    <rPh sb="6" eb="8">
      <t>ネンガク</t>
    </rPh>
    <phoneticPr fontId="19"/>
  </si>
  <si>
    <t>－</t>
  </si>
  <si>
    <t>定率法
又は
定額法</t>
    <rPh sb="0" eb="2">
      <t>テイリツ</t>
    </rPh>
    <rPh sb="2" eb="3">
      <t>ホウ</t>
    </rPh>
    <rPh sb="4" eb="5">
      <t>マタ</t>
    </rPh>
    <rPh sb="7" eb="9">
      <t>テイガク</t>
    </rPh>
    <rPh sb="9" eb="10">
      <t>ホウ</t>
    </rPh>
    <phoneticPr fontId="19"/>
  </si>
  <si>
    <t>R8</t>
  </si>
  <si>
    <t>R9</t>
  </si>
  <si>
    <t>10年</t>
    <rPh sb="2" eb="3">
      <t>ネン</t>
    </rPh>
    <phoneticPr fontId="19"/>
  </si>
  <si>
    <t>定率法</t>
    <rPh sb="0" eb="2">
      <t>テイリツ</t>
    </rPh>
    <rPh sb="2" eb="3">
      <t>ホウ</t>
    </rPh>
    <phoneticPr fontId="19"/>
  </si>
  <si>
    <t>保証率
及び
償却保証額</t>
    <rPh sb="0" eb="2">
      <t>ホショウ</t>
    </rPh>
    <rPh sb="2" eb="3">
      <t>リツ</t>
    </rPh>
    <rPh sb="4" eb="5">
      <t>オヨ</t>
    </rPh>
    <rPh sb="7" eb="9">
      <t>ショウキャク</t>
    </rPh>
    <rPh sb="9" eb="11">
      <t>ホショウ</t>
    </rPh>
    <rPh sb="11" eb="12">
      <t>ガク</t>
    </rPh>
    <phoneticPr fontId="19"/>
  </si>
  <si>
    <t>0.06552
131,040円</t>
    <rPh sb="15" eb="16">
      <t>エン</t>
    </rPh>
    <phoneticPr fontId="19"/>
  </si>
  <si>
    <t>0.286
(0.334)</t>
  </si>
  <si>
    <t>取得費</t>
    <rPh sb="0" eb="2">
      <t>シュトク</t>
    </rPh>
    <rPh sb="2" eb="3">
      <t>ヒ</t>
    </rPh>
    <phoneticPr fontId="19"/>
  </si>
  <si>
    <t>定率</t>
    <rPh sb="0" eb="2">
      <t>テイリツ</t>
    </rPh>
    <phoneticPr fontId="19"/>
  </si>
  <si>
    <t>1年目</t>
    <rPh sb="1" eb="3">
      <t>ネンメ</t>
    </rPh>
    <phoneticPr fontId="19"/>
  </si>
  <si>
    <t>3年目</t>
    <rPh sb="1" eb="3">
      <t>ネンメ</t>
    </rPh>
    <phoneticPr fontId="19"/>
  </si>
  <si>
    <t>4年目</t>
    <rPh sb="1" eb="3">
      <t>ネンメ</t>
    </rPh>
    <phoneticPr fontId="19"/>
  </si>
  <si>
    <t>5年目</t>
    <rPh sb="1" eb="3">
      <t>ネンメ</t>
    </rPh>
    <phoneticPr fontId="19"/>
  </si>
  <si>
    <t>6年目</t>
    <rPh sb="1" eb="3">
      <t>ネンメ</t>
    </rPh>
    <phoneticPr fontId="19"/>
  </si>
  <si>
    <t>9年目</t>
    <rPh sb="1" eb="3">
      <t>ネンメ</t>
    </rPh>
    <phoneticPr fontId="19"/>
  </si>
  <si>
    <t>10年目</t>
    <rPh sb="2" eb="4">
      <t>ネンメ</t>
    </rPh>
    <phoneticPr fontId="19"/>
  </si>
  <si>
    <t>残存価額</t>
    <rPh sb="0" eb="2">
      <t>ザンゾン</t>
    </rPh>
    <rPh sb="2" eb="4">
      <t>カガク</t>
    </rPh>
    <phoneticPr fontId="19"/>
  </si>
  <si>
    <t>雨除ハウス</t>
    <rPh sb="0" eb="2">
      <t>アマヨ</t>
    </rPh>
    <phoneticPr fontId="19"/>
  </si>
  <si>
    <t>モノレール</t>
  </si>
  <si>
    <t>改定償却率</t>
    <rPh sb="0" eb="2">
      <t>カイテイ</t>
    </rPh>
    <rPh sb="2" eb="5">
      <t>ショウキャクリツ</t>
    </rPh>
    <phoneticPr fontId="19"/>
  </si>
  <si>
    <t>※平成24年4月1日以降に取得したものの場合</t>
    <rPh sb="1" eb="3">
      <t>ヘイセイ</t>
    </rPh>
    <rPh sb="5" eb="6">
      <t>ネン</t>
    </rPh>
    <rPh sb="7" eb="8">
      <t>ガツ</t>
    </rPh>
    <rPh sb="9" eb="10">
      <t>ニチ</t>
    </rPh>
    <rPh sb="10" eb="12">
      <t>イコウ</t>
    </rPh>
    <rPh sb="13" eb="15">
      <t>シュトク</t>
    </rPh>
    <rPh sb="20" eb="22">
      <t>バアイ</t>
    </rPh>
    <phoneticPr fontId="19"/>
  </si>
  <si>
    <t>経営開始資金</t>
    <rPh sb="0" eb="4">
      <t>ケイエイカイシ</t>
    </rPh>
    <rPh sb="4" eb="6">
      <t>シキントウシ</t>
    </rPh>
    <phoneticPr fontId="19"/>
  </si>
  <si>
    <t>経営開始資金</t>
    <rPh sb="0" eb="6">
      <t>ケイエイカイシシキン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</si>
</sst>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0.000;[Red]\-#,##0.000"/>
    <numFmt numFmtId="177" formatCode="#,##0_ "/>
    <numFmt numFmtId="178" formatCode="#,##0_);[Red]\(#,##0\)"/>
  </numFmts>
  <fonts count="29"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1"/>
      <color indexed="10"/>
      <name val="ＭＳ 明朝"/>
      <family val="1"/>
      <charset val="128"/>
    </font>
    <font>
      <sz val="8"/>
      <name val="ＭＳ 明朝"/>
      <family val="1"/>
      <charset val="128"/>
    </font>
    <font>
      <sz val="6"/>
      <name val="ＭＳ 明朝"/>
      <family val="1"/>
      <charset val="128"/>
    </font>
    <font>
      <sz val="14"/>
      <name val="ＭＳ Ｐゴシック"/>
      <family val="3"/>
      <charset val="128"/>
    </font>
    <font>
      <sz val="10"/>
      <name val="ＭＳ Ｐゴシック"/>
      <family val="3"/>
      <charset val="128"/>
    </font>
    <font>
      <sz val="9"/>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23"/>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diagonalDown="1">
      <left style="thin">
        <color indexed="64"/>
      </left>
      <right style="thin">
        <color indexed="64"/>
      </right>
      <top style="thin">
        <color indexed="64"/>
      </top>
      <bottom style="thin">
        <color indexed="64"/>
      </bottom>
      <diagonal style="thin">
        <color indexed="8"/>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8"/>
      </left>
      <right style="double">
        <color indexed="64"/>
      </right>
      <top/>
      <bottom style="double">
        <color indexed="64"/>
      </bottom>
      <diagonal/>
    </border>
    <border>
      <left style="thin">
        <color indexed="8"/>
      </left>
      <right style="thin">
        <color indexed="8"/>
      </right>
      <top style="thin">
        <color indexed="8"/>
      </top>
      <bottom style="thin">
        <color indexed="8"/>
      </bottom>
      <diagonal/>
    </border>
    <border>
      <left style="thin">
        <color indexed="64"/>
      </left>
      <right/>
      <top style="double">
        <color indexed="64"/>
      </top>
      <bottom style="double">
        <color indexed="64"/>
      </bottom>
      <diagonal/>
    </border>
    <border>
      <left style="thin">
        <color indexed="8"/>
      </left>
      <right style="double">
        <color indexed="64"/>
      </right>
      <top style="double">
        <color indexed="64"/>
      </top>
      <bottom style="double">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dotted">
        <color indexed="64"/>
      </top>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tted">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6" fontId="6" fillId="0" borderId="0" applyFont="0" applyFill="0" applyBorder="0" applyAlignment="0" applyProtection="0"/>
    <xf numFmtId="38" fontId="6" fillId="0" borderId="0" applyFont="0" applyFill="0" applyBorder="0" applyAlignment="0" applyProtection="0"/>
  </cellStyleXfs>
  <cellXfs count="174">
    <xf numFmtId="0" fontId="0" fillId="0" borderId="0" xfId="0"/>
    <xf numFmtId="0" fontId="20" fillId="0" borderId="0" xfId="0" applyFont="1"/>
    <xf numFmtId="0" fontId="20" fillId="0" borderId="0" xfId="0" applyFont="1" applyAlignment="1">
      <alignment vertical="top"/>
    </xf>
    <xf numFmtId="0" fontId="20" fillId="0" borderId="12"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6" xfId="0" applyFont="1" applyBorder="1" applyAlignment="1">
      <alignment horizontal="center" vertical="top"/>
    </xf>
    <xf numFmtId="0" fontId="20" fillId="0" borderId="20" xfId="0" applyFont="1" applyBorder="1" applyAlignment="1">
      <alignment horizontal="center" vertical="center"/>
    </xf>
    <xf numFmtId="0" fontId="20" fillId="0" borderId="20" xfId="0" applyFont="1" applyBorder="1" applyAlignment="1">
      <alignment horizontal="left" vertical="top"/>
    </xf>
    <xf numFmtId="0" fontId="22" fillId="0" borderId="12" xfId="0" applyFont="1" applyBorder="1" applyAlignment="1">
      <alignment horizontal="center" vertical="center" wrapText="1"/>
    </xf>
    <xf numFmtId="0" fontId="20" fillId="0" borderId="21" xfId="0" applyFont="1" applyBorder="1" applyAlignment="1">
      <alignment horizontal="left" vertical="top"/>
    </xf>
    <xf numFmtId="0" fontId="20" fillId="0" borderId="20" xfId="0" applyFont="1" applyBorder="1" applyAlignment="1">
      <alignment horizontal="left" vertical="center"/>
    </xf>
    <xf numFmtId="0" fontId="20" fillId="0" borderId="20" xfId="0" applyFont="1" applyBorder="1" applyAlignment="1">
      <alignment vertical="center"/>
    </xf>
    <xf numFmtId="0" fontId="20" fillId="0" borderId="13" xfId="0" applyFont="1" applyBorder="1" applyAlignment="1">
      <alignment horizontal="left" vertical="top"/>
    </xf>
    <xf numFmtId="0" fontId="20" fillId="0" borderId="20"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0" xfId="0" applyFont="1" applyBorder="1" applyAlignment="1">
      <alignment horizontal="center"/>
    </xf>
    <xf numFmtId="177" fontId="20" fillId="0" borderId="20" xfId="0" applyNumberFormat="1" applyFont="1" applyBorder="1" applyAlignment="1">
      <alignment horizontal="left" vertical="center"/>
    </xf>
    <xf numFmtId="0" fontId="20" fillId="0" borderId="18" xfId="0" applyFont="1" applyBorder="1" applyAlignment="1">
      <alignment horizontal="left" vertical="top"/>
    </xf>
    <xf numFmtId="0" fontId="20" fillId="0" borderId="0" xfId="0" applyFont="1" applyAlignment="1">
      <alignment horizontal="center"/>
    </xf>
    <xf numFmtId="0" fontId="20" fillId="0" borderId="20" xfId="0" applyFont="1" applyBorder="1" applyAlignment="1">
      <alignment horizontal="center" vertical="center" shrinkToFit="1"/>
    </xf>
    <xf numFmtId="0" fontId="20" fillId="0" borderId="20" xfId="0" applyFont="1" applyBorder="1" applyAlignment="1">
      <alignment horizontal="center" vertical="center" wrapText="1"/>
    </xf>
    <xf numFmtId="177" fontId="20" fillId="0" borderId="20" xfId="0" applyNumberFormat="1" applyFont="1" applyBorder="1" applyAlignment="1">
      <alignment horizontal="right"/>
    </xf>
    <xf numFmtId="0" fontId="20" fillId="0" borderId="26" xfId="0" applyFont="1" applyFill="1" applyBorder="1"/>
    <xf numFmtId="5" fontId="23" fillId="0" borderId="18" xfId="0" applyNumberFormat="1" applyFont="1" applyFill="1" applyBorder="1"/>
    <xf numFmtId="5" fontId="20" fillId="0" borderId="21" xfId="0" applyNumberFormat="1" applyFont="1" applyBorder="1"/>
    <xf numFmtId="0" fontId="20" fillId="0" borderId="16" xfId="0" applyFont="1" applyBorder="1"/>
    <xf numFmtId="5" fontId="20" fillId="0" borderId="20" xfId="0" applyNumberFormat="1" applyFont="1" applyFill="1" applyBorder="1"/>
    <xf numFmtId="0" fontId="24" fillId="0" borderId="13" xfId="0" applyFont="1" applyFill="1" applyBorder="1" applyAlignment="1">
      <alignment vertical="top" wrapText="1"/>
    </xf>
    <xf numFmtId="5" fontId="20" fillId="0" borderId="21" xfId="0" applyNumberFormat="1" applyFont="1" applyBorder="1" applyAlignment="1">
      <alignment shrinkToFit="1"/>
    </xf>
    <xf numFmtId="5" fontId="20" fillId="0" borderId="20" xfId="0" applyNumberFormat="1" applyFont="1" applyBorder="1" applyAlignment="1">
      <alignment horizontal="right"/>
    </xf>
    <xf numFmtId="0" fontId="20" fillId="0" borderId="20" xfId="42" applyNumberFormat="1" applyFont="1" applyBorder="1" applyAlignment="1">
      <alignment horizontal="right"/>
    </xf>
    <xf numFmtId="38" fontId="20" fillId="0" borderId="20" xfId="43" applyFont="1" applyBorder="1" applyAlignment="1">
      <alignment horizontal="right"/>
    </xf>
    <xf numFmtId="6" fontId="20" fillId="0" borderId="20" xfId="42" applyFont="1" applyBorder="1" applyAlignment="1">
      <alignment horizontal="right"/>
    </xf>
    <xf numFmtId="177" fontId="20" fillId="0" borderId="26" xfId="42" applyNumberFormat="1" applyFont="1" applyFill="1" applyBorder="1" applyAlignment="1">
      <alignment horizontal="right"/>
    </xf>
    <xf numFmtId="0" fontId="25" fillId="0" borderId="13" xfId="0" applyFont="1" applyFill="1" applyBorder="1" applyAlignment="1">
      <alignment vertical="top" wrapText="1"/>
    </xf>
    <xf numFmtId="0" fontId="20" fillId="0" borderId="0" xfId="0" applyFont="1" applyAlignment="1">
      <alignment horizontal="right"/>
    </xf>
    <xf numFmtId="5" fontId="23" fillId="0" borderId="27" xfId="0" applyNumberFormat="1" applyFont="1" applyFill="1" applyBorder="1"/>
    <xf numFmtId="5" fontId="23" fillId="0" borderId="28" xfId="0" applyNumberFormat="1" applyFont="1" applyFill="1" applyBorder="1"/>
    <xf numFmtId="5" fontId="20" fillId="0" borderId="0" xfId="0" applyNumberFormat="1" applyFont="1"/>
    <xf numFmtId="0" fontId="20" fillId="0" borderId="29" xfId="0" applyFont="1" applyBorder="1" applyAlignment="1">
      <alignment horizontal="center" vertical="center"/>
    </xf>
    <xf numFmtId="0" fontId="20" fillId="0" borderId="29" xfId="0" applyFont="1" applyBorder="1" applyAlignment="1">
      <alignment horizontal="center"/>
    </xf>
    <xf numFmtId="0" fontId="24" fillId="0" borderId="29" xfId="0" applyFont="1" applyBorder="1" applyAlignment="1">
      <alignment horizontal="left" vertical="top" wrapText="1" shrinkToFit="1"/>
    </xf>
    <xf numFmtId="0" fontId="24" fillId="0" borderId="29" xfId="0" applyFont="1" applyBorder="1" applyAlignment="1">
      <alignment horizontal="left" wrapText="1" shrinkToFit="1"/>
    </xf>
    <xf numFmtId="0" fontId="20" fillId="0" borderId="29" xfId="0" applyFont="1" applyBorder="1" applyAlignment="1">
      <alignment horizontal="center" wrapText="1"/>
    </xf>
    <xf numFmtId="0" fontId="20" fillId="0" borderId="29" xfId="0" applyNumberFormat="1" applyFont="1" applyBorder="1" applyAlignment="1">
      <alignment horizontal="center" shrinkToFit="1"/>
    </xf>
    <xf numFmtId="0" fontId="20" fillId="0" borderId="29" xfId="0" applyFont="1" applyBorder="1"/>
    <xf numFmtId="49" fontId="20" fillId="0" borderId="29" xfId="0" applyNumberFormat="1" applyFont="1" applyBorder="1" applyAlignment="1">
      <alignment horizontal="center"/>
    </xf>
    <xf numFmtId="178" fontId="20" fillId="0" borderId="29" xfId="0" applyNumberFormat="1" applyFont="1" applyBorder="1" applyAlignment="1">
      <alignment horizontal="center"/>
    </xf>
    <xf numFmtId="178" fontId="20" fillId="0" borderId="29" xfId="0" applyNumberFormat="1" applyFont="1" applyBorder="1" applyAlignment="1">
      <alignment horizontal="center" shrinkToFit="1"/>
    </xf>
    <xf numFmtId="0" fontId="20" fillId="0" borderId="0" xfId="0" applyFont="1" applyBorder="1" applyAlignment="1">
      <alignment horizontal="right"/>
    </xf>
    <xf numFmtId="0" fontId="20" fillId="0" borderId="20" xfId="0" applyFont="1" applyBorder="1" applyAlignment="1">
      <alignment horizontal="center" vertical="top"/>
    </xf>
    <xf numFmtId="5" fontId="23" fillId="0" borderId="21" xfId="0" applyNumberFormat="1" applyFont="1" applyBorder="1"/>
    <xf numFmtId="5" fontId="23" fillId="0" borderId="30" xfId="0" applyNumberFormat="1" applyFont="1" applyBorder="1"/>
    <xf numFmtId="5" fontId="23" fillId="0" borderId="31" xfId="0" applyNumberFormat="1" applyFont="1" applyBorder="1"/>
    <xf numFmtId="177" fontId="0" fillId="0" borderId="0" xfId="0" applyNumberFormat="1" applyFont="1" applyAlignment="1"/>
    <xf numFmtId="177" fontId="26" fillId="0" borderId="0" xfId="0" applyNumberFormat="1" applyFont="1" applyAlignment="1"/>
    <xf numFmtId="177" fontId="27" fillId="0" borderId="32" xfId="0" applyNumberFormat="1" applyFont="1" applyBorder="1" applyAlignment="1">
      <alignment horizontal="center"/>
    </xf>
    <xf numFmtId="177" fontId="27" fillId="0" borderId="35" xfId="0" applyNumberFormat="1" applyFont="1" applyBorder="1" applyAlignment="1">
      <alignment horizontal="center"/>
    </xf>
    <xf numFmtId="177" fontId="27" fillId="0" borderId="36" xfId="0" applyNumberFormat="1" applyFont="1" applyBorder="1" applyAlignment="1">
      <alignment horizontal="center"/>
    </xf>
    <xf numFmtId="177" fontId="27" fillId="0" borderId="38" xfId="0" applyNumberFormat="1" applyFont="1" applyBorder="1" applyAlignment="1">
      <alignment horizontal="center"/>
    </xf>
    <xf numFmtId="177" fontId="27" fillId="0" borderId="40" xfId="0" applyNumberFormat="1" applyFont="1" applyBorder="1" applyAlignment="1">
      <alignment horizontal="center"/>
    </xf>
    <xf numFmtId="177" fontId="27" fillId="0" borderId="0" xfId="0" applyNumberFormat="1" applyFont="1" applyBorder="1" applyAlignment="1">
      <alignment horizontal="center" vertical="center"/>
    </xf>
    <xf numFmtId="177" fontId="27" fillId="0" borderId="0" xfId="0" applyNumberFormat="1" applyFont="1" applyAlignment="1"/>
    <xf numFmtId="177" fontId="27" fillId="0" borderId="43" xfId="0" applyNumberFormat="1" applyFont="1" applyBorder="1" applyAlignment="1"/>
    <xf numFmtId="177" fontId="27" fillId="0" borderId="44" xfId="0" applyNumberFormat="1" applyFont="1" applyBorder="1" applyAlignment="1"/>
    <xf numFmtId="177" fontId="27" fillId="0" borderId="45" xfId="0" applyNumberFormat="1" applyFont="1" applyBorder="1" applyAlignment="1"/>
    <xf numFmtId="177" fontId="27" fillId="0" borderId="46" xfId="0" applyNumberFormat="1" applyFont="1" applyBorder="1" applyAlignment="1"/>
    <xf numFmtId="177" fontId="27" fillId="0" borderId="47" xfId="0" applyNumberFormat="1" applyFont="1" applyBorder="1" applyAlignment="1"/>
    <xf numFmtId="177" fontId="27" fillId="0" borderId="48" xfId="0" applyNumberFormat="1" applyFont="1" applyBorder="1" applyAlignment="1"/>
    <xf numFmtId="177" fontId="27" fillId="0" borderId="0" xfId="0" applyNumberFormat="1" applyFont="1" applyBorder="1" applyAlignment="1"/>
    <xf numFmtId="177" fontId="27" fillId="0" borderId="49" xfId="0" applyNumberFormat="1" applyFont="1" applyBorder="1" applyAlignment="1"/>
    <xf numFmtId="177" fontId="27" fillId="0" borderId="50" xfId="0" applyNumberFormat="1" applyFont="1" applyBorder="1" applyAlignment="1">
      <alignment horizontal="center"/>
    </xf>
    <xf numFmtId="177" fontId="27" fillId="0" borderId="51" xfId="0" applyNumberFormat="1" applyFont="1" applyBorder="1" applyAlignment="1">
      <alignment horizontal="center" vertical="center"/>
    </xf>
    <xf numFmtId="177" fontId="27" fillId="0" borderId="52" xfId="0" applyNumberFormat="1" applyFont="1" applyBorder="1" applyAlignment="1">
      <alignment horizontal="center" vertical="center"/>
    </xf>
    <xf numFmtId="177" fontId="27" fillId="0" borderId="53" xfId="0" applyNumberFormat="1" applyFont="1" applyBorder="1" applyAlignment="1">
      <alignment horizontal="center"/>
    </xf>
    <xf numFmtId="177" fontId="27" fillId="0" borderId="54" xfId="0" applyNumberFormat="1" applyFont="1" applyBorder="1" applyAlignment="1">
      <alignment horizontal="center"/>
    </xf>
    <xf numFmtId="177" fontId="27" fillId="0" borderId="55" xfId="0" applyNumberFormat="1" applyFont="1" applyBorder="1" applyAlignment="1">
      <alignment horizontal="center"/>
    </xf>
    <xf numFmtId="177" fontId="27" fillId="0" borderId="56" xfId="0" applyNumberFormat="1" applyFont="1" applyBorder="1" applyAlignment="1">
      <alignment horizontal="center"/>
    </xf>
    <xf numFmtId="177" fontId="27" fillId="0" borderId="57" xfId="0" applyNumberFormat="1" applyFont="1" applyBorder="1" applyAlignment="1">
      <alignment horizontal="center" vertical="center"/>
    </xf>
    <xf numFmtId="177" fontId="27" fillId="0" borderId="58" xfId="0" applyNumberFormat="1" applyFont="1" applyBorder="1" applyAlignment="1">
      <alignment horizontal="center" vertical="center"/>
    </xf>
    <xf numFmtId="0" fontId="20" fillId="0" borderId="59" xfId="0" applyFont="1" applyBorder="1" applyAlignment="1">
      <alignment horizontal="center" vertical="center" shrinkToFit="1"/>
    </xf>
    <xf numFmtId="177" fontId="27" fillId="24" borderId="45" xfId="0" applyNumberFormat="1" applyFont="1" applyFill="1" applyBorder="1" applyAlignment="1"/>
    <xf numFmtId="177" fontId="27" fillId="0" borderId="60" xfId="0" applyNumberFormat="1" applyFont="1" applyBorder="1" applyAlignment="1"/>
    <xf numFmtId="0" fontId="20" fillId="0" borderId="13" xfId="0" applyFont="1" applyBorder="1" applyAlignment="1">
      <alignment horizontal="center" vertical="center" shrinkToFit="1"/>
    </xf>
    <xf numFmtId="177" fontId="27" fillId="0" borderId="55" xfId="0" applyNumberFormat="1" applyFont="1" applyFill="1" applyBorder="1" applyAlignment="1"/>
    <xf numFmtId="0" fontId="20" fillId="0" borderId="61" xfId="0" applyFont="1" applyBorder="1" applyAlignment="1">
      <alignment horizontal="center" vertical="center" shrinkToFit="1"/>
    </xf>
    <xf numFmtId="177" fontId="27" fillId="24" borderId="62" xfId="0" applyNumberFormat="1" applyFont="1" applyFill="1" applyBorder="1" applyAlignment="1"/>
    <xf numFmtId="177" fontId="27" fillId="0" borderId="62" xfId="0" applyNumberFormat="1" applyFont="1" applyBorder="1" applyAlignment="1"/>
    <xf numFmtId="177" fontId="27" fillId="24" borderId="63" xfId="0" applyNumberFormat="1" applyFont="1" applyFill="1" applyBorder="1" applyAlignment="1"/>
    <xf numFmtId="177" fontId="27" fillId="0" borderId="64" xfId="0" applyNumberFormat="1" applyFont="1" applyBorder="1" applyAlignment="1"/>
    <xf numFmtId="0" fontId="20" fillId="0" borderId="65" xfId="0" applyFont="1" applyBorder="1" applyAlignment="1">
      <alignment horizontal="center" vertical="center" shrinkToFit="1"/>
    </xf>
    <xf numFmtId="177" fontId="27" fillId="0" borderId="66" xfId="0" applyNumberFormat="1" applyFont="1" applyBorder="1" applyAlignment="1"/>
    <xf numFmtId="177" fontId="27" fillId="0" borderId="63" xfId="0" applyNumberFormat="1" applyFont="1" applyBorder="1" applyAlignment="1"/>
    <xf numFmtId="177" fontId="27" fillId="0" borderId="67" xfId="0" applyNumberFormat="1" applyFont="1" applyFill="1" applyBorder="1" applyAlignment="1"/>
    <xf numFmtId="177" fontId="27" fillId="0" borderId="68" xfId="0" applyNumberFormat="1" applyFont="1" applyFill="1" applyBorder="1" applyAlignment="1"/>
    <xf numFmtId="0" fontId="20" fillId="0" borderId="69" xfId="0" applyFont="1" applyBorder="1" applyAlignment="1">
      <alignment horizontal="center" vertical="center" shrinkToFit="1"/>
    </xf>
    <xf numFmtId="177" fontId="27" fillId="0" borderId="70" xfId="0" applyNumberFormat="1" applyFont="1" applyFill="1" applyBorder="1" applyAlignment="1"/>
    <xf numFmtId="177" fontId="0" fillId="0" borderId="0" xfId="0" applyNumberFormat="1"/>
    <xf numFmtId="177" fontId="0" fillId="25" borderId="0" xfId="0" applyNumberFormat="1" applyFill="1"/>
    <xf numFmtId="49" fontId="0" fillId="0" borderId="0" xfId="0" applyNumberFormat="1"/>
    <xf numFmtId="177" fontId="0" fillId="0" borderId="71" xfId="0" applyNumberFormat="1" applyBorder="1"/>
    <xf numFmtId="49" fontId="0" fillId="0" borderId="71" xfId="0" applyNumberFormat="1" applyBorder="1"/>
    <xf numFmtId="49" fontId="0" fillId="0" borderId="43" xfId="0" applyNumberFormat="1" applyBorder="1"/>
    <xf numFmtId="49" fontId="0" fillId="0" borderId="72" xfId="0" applyNumberFormat="1" applyBorder="1"/>
    <xf numFmtId="177" fontId="0" fillId="0" borderId="43" xfId="0" applyNumberFormat="1" applyBorder="1"/>
    <xf numFmtId="177" fontId="0" fillId="0" borderId="73" xfId="0" applyNumberFormat="1" applyBorder="1"/>
    <xf numFmtId="177" fontId="0" fillId="0" borderId="74" xfId="0" applyNumberFormat="1" applyBorder="1"/>
    <xf numFmtId="177" fontId="0" fillId="0" borderId="75" xfId="0" applyNumberFormat="1" applyBorder="1"/>
    <xf numFmtId="177" fontId="0" fillId="0" borderId="76" xfId="0" applyNumberFormat="1" applyBorder="1"/>
    <xf numFmtId="177" fontId="0" fillId="0" borderId="70" xfId="0" applyNumberFormat="1" applyBorder="1"/>
    <xf numFmtId="177" fontId="0" fillId="0" borderId="77" xfId="0" applyNumberFormat="1" applyBorder="1"/>
    <xf numFmtId="0" fontId="22" fillId="0" borderId="20" xfId="0" applyFont="1" applyBorder="1" applyAlignment="1">
      <alignment horizontal="center" vertical="center" wrapText="1"/>
    </xf>
    <xf numFmtId="0" fontId="20" fillId="0" borderId="0" xfId="0" applyFont="1" applyAlignment="1">
      <alignment vertical="center"/>
    </xf>
    <xf numFmtId="0" fontId="0" fillId="0" borderId="71" xfId="0" applyFont="1" applyBorder="1"/>
    <xf numFmtId="0" fontId="0" fillId="0" borderId="43" xfId="0" applyFont="1" applyBorder="1"/>
    <xf numFmtId="0" fontId="0" fillId="0" borderId="43" xfId="0" applyBorder="1"/>
    <xf numFmtId="0" fontId="0" fillId="0" borderId="72" xfId="0" applyBorder="1"/>
    <xf numFmtId="49" fontId="20" fillId="0" borderId="20" xfId="0" applyNumberFormat="1" applyFont="1" applyBorder="1" applyAlignment="1">
      <alignment horizontal="center" vertical="center"/>
    </xf>
    <xf numFmtId="177" fontId="20" fillId="0" borderId="20" xfId="0" applyNumberFormat="1" applyFont="1" applyBorder="1" applyAlignment="1">
      <alignment horizontal="right" vertical="center"/>
    </xf>
    <xf numFmtId="0" fontId="0" fillId="0" borderId="78" xfId="0" applyFont="1" applyBorder="1"/>
    <xf numFmtId="38" fontId="0" fillId="0" borderId="0" xfId="43" applyFont="1" applyBorder="1"/>
    <xf numFmtId="38" fontId="0" fillId="0" borderId="79" xfId="43" applyFont="1" applyBorder="1"/>
    <xf numFmtId="176" fontId="0" fillId="0" borderId="0" xfId="43" applyNumberFormat="1" applyFont="1" applyBorder="1"/>
    <xf numFmtId="0" fontId="0" fillId="0" borderId="76" xfId="0" applyFont="1" applyBorder="1"/>
    <xf numFmtId="176" fontId="0" fillId="0" borderId="70" xfId="43" applyNumberFormat="1" applyFont="1" applyBorder="1"/>
    <xf numFmtId="38" fontId="0" fillId="0" borderId="70" xfId="43" applyFont="1" applyBorder="1"/>
    <xf numFmtId="38" fontId="0" fillId="0" borderId="77" xfId="43" applyFont="1" applyBorder="1"/>
    <xf numFmtId="0" fontId="20" fillId="0" borderId="20" xfId="0" applyFont="1" applyBorder="1" applyAlignment="1">
      <alignment horizontal="right" vertical="center" wrapText="1"/>
    </xf>
    <xf numFmtId="0" fontId="0" fillId="0" borderId="20" xfId="0" applyFont="1" applyBorder="1" applyAlignment="1">
      <alignment horizontal="right" vertical="center" wrapText="1"/>
    </xf>
    <xf numFmtId="0" fontId="0" fillId="0" borderId="20" xfId="0" applyBorder="1"/>
    <xf numFmtId="0" fontId="20" fillId="0" borderId="1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20" xfId="0" applyFont="1" applyBorder="1" applyAlignment="1">
      <alignment vertical="center"/>
    </xf>
    <xf numFmtId="0" fontId="20" fillId="0" borderId="15" xfId="0" applyFont="1" applyBorder="1" applyAlignment="1">
      <alignment horizontal="left" vertical="top"/>
    </xf>
    <xf numFmtId="0" fontId="20" fillId="0" borderId="21" xfId="0" applyFont="1" applyBorder="1" applyAlignment="1">
      <alignment horizontal="left" vertical="top"/>
    </xf>
    <xf numFmtId="0" fontId="20" fillId="0" borderId="13" xfId="0" applyFont="1" applyBorder="1" applyAlignment="1">
      <alignment horizontal="left" vertical="top" wrapText="1"/>
    </xf>
    <xf numFmtId="0" fontId="20" fillId="0" borderId="13" xfId="0" applyFont="1" applyBorder="1" applyAlignment="1">
      <alignment horizontal="left" vertical="top"/>
    </xf>
    <xf numFmtId="0" fontId="20" fillId="0" borderId="19" xfId="0" applyFont="1" applyBorder="1" applyAlignment="1">
      <alignment horizontal="left" vertical="center"/>
    </xf>
    <xf numFmtId="0" fontId="20" fillId="0" borderId="23" xfId="0" applyFont="1" applyBorder="1" applyAlignment="1">
      <alignment horizontal="left" vertical="center"/>
    </xf>
    <xf numFmtId="0" fontId="20" fillId="0" borderId="25" xfId="0" applyFont="1" applyBorder="1" applyAlignment="1">
      <alignment horizontal="left" vertical="center"/>
    </xf>
    <xf numFmtId="0" fontId="20" fillId="0" borderId="10" xfId="0" applyFont="1" applyBorder="1" applyAlignment="1">
      <alignment horizontal="center"/>
    </xf>
    <xf numFmtId="177" fontId="20" fillId="0" borderId="20" xfId="0" applyNumberFormat="1" applyFont="1" applyBorder="1" applyAlignment="1">
      <alignment horizontal="center" vertical="center"/>
    </xf>
    <xf numFmtId="0" fontId="20" fillId="0" borderId="20" xfId="0" applyFont="1" applyBorder="1" applyAlignment="1">
      <alignment horizontal="center" vertical="center"/>
    </xf>
    <xf numFmtId="177" fontId="22" fillId="0" borderId="20" xfId="0" applyNumberFormat="1" applyFont="1" applyBorder="1" applyAlignment="1">
      <alignment horizontal="center" vertical="center"/>
    </xf>
    <xf numFmtId="0" fontId="22" fillId="0" borderId="20" xfId="0" applyFont="1" applyBorder="1" applyAlignment="1">
      <alignment horizontal="center" vertical="center"/>
    </xf>
    <xf numFmtId="0" fontId="20" fillId="0" borderId="22" xfId="0" applyFont="1" applyBorder="1" applyAlignment="1">
      <alignment horizontal="left" vertical="center"/>
    </xf>
    <xf numFmtId="0" fontId="20" fillId="0" borderId="24" xfId="0" applyFont="1" applyBorder="1" applyAlignment="1">
      <alignment horizontal="left" vertical="center"/>
    </xf>
    <xf numFmtId="0" fontId="20" fillId="0" borderId="20" xfId="0" applyFont="1" applyBorder="1" applyAlignment="1">
      <alignment horizontal="left" vertical="center"/>
    </xf>
    <xf numFmtId="0" fontId="21" fillId="0" borderId="0" xfId="0" applyFont="1" applyBorder="1" applyAlignment="1">
      <alignment horizontal="center" vertical="center"/>
    </xf>
    <xf numFmtId="0" fontId="20" fillId="0" borderId="20" xfId="0" applyFont="1" applyBorder="1" applyAlignment="1">
      <alignment horizontal="center"/>
    </xf>
    <xf numFmtId="0" fontId="20" fillId="0" borderId="14" xfId="0" applyFont="1" applyBorder="1" applyAlignment="1">
      <alignment horizontal="center" vertical="center"/>
    </xf>
    <xf numFmtId="0" fontId="20" fillId="0" borderId="21"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xf>
    <xf numFmtId="0" fontId="20" fillId="0" borderId="13" xfId="0" applyFont="1" applyBorder="1" applyAlignment="1">
      <alignment horizontal="center" vertical="center" textRotation="255"/>
    </xf>
    <xf numFmtId="177" fontId="20" fillId="0" borderId="11" xfId="0" applyNumberFormat="1"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0" xfId="0" applyFont="1" applyBorder="1" applyAlignment="1">
      <alignment horizontal="center" vertical="center" textRotation="255"/>
    </xf>
    <xf numFmtId="177" fontId="27" fillId="0" borderId="33" xfId="0" applyNumberFormat="1" applyFont="1" applyBorder="1" applyAlignment="1">
      <alignment horizontal="center" vertical="center"/>
    </xf>
    <xf numFmtId="177" fontId="27" fillId="0" borderId="34" xfId="0" applyNumberFormat="1" applyFont="1" applyBorder="1" applyAlignment="1">
      <alignment horizontal="center" vertical="center"/>
    </xf>
    <xf numFmtId="177" fontId="27" fillId="0" borderId="42" xfId="0" applyNumberFormat="1" applyFont="1" applyBorder="1" applyAlignment="1">
      <alignment horizontal="center" vertical="center"/>
    </xf>
    <xf numFmtId="177" fontId="27" fillId="0" borderId="37" xfId="0" applyNumberFormat="1" applyFont="1" applyBorder="1" applyAlignment="1">
      <alignment horizontal="center" vertical="center"/>
    </xf>
    <xf numFmtId="177" fontId="27" fillId="0" borderId="38" xfId="0" applyNumberFormat="1" applyFont="1" applyBorder="1" applyAlignment="1">
      <alignment horizontal="center" vertical="center"/>
    </xf>
    <xf numFmtId="177" fontId="27" fillId="0" borderId="39" xfId="0" applyNumberFormat="1" applyFont="1" applyBorder="1" applyAlignment="1">
      <alignment horizontal="center" vertical="center"/>
    </xf>
    <xf numFmtId="177" fontId="27" fillId="0" borderId="41" xfId="0" applyNumberFormat="1" applyFont="1" applyBorder="1" applyAlignment="1">
      <alignment horizontal="center" vertical="center"/>
    </xf>
    <xf numFmtId="0" fontId="20" fillId="0" borderId="20"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0" xfId="0" applyFont="1" applyBorder="1" applyAlignment="1">
      <alignment horizontal="center" vertical="center"/>
    </xf>
    <xf numFmtId="0" fontId="20" fillId="0" borderId="15" xfId="0" applyFont="1" applyBorder="1" applyAlignment="1">
      <alignment horizontal="center" vertical="top"/>
    </xf>
    <xf numFmtId="0" fontId="20" fillId="0" borderId="21" xfId="0" applyFont="1" applyBorder="1" applyAlignment="1">
      <alignment horizontal="center" vertical="top"/>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桁区切り" xfId="43" builtinId="6"/>
    <cellStyle name="見出し 1" xfId="34"/>
    <cellStyle name="見出し 2" xfId="35"/>
    <cellStyle name="見出し 3" xfId="36"/>
    <cellStyle name="見出し 4" xfId="37"/>
    <cellStyle name="集計" xfId="41"/>
    <cellStyle name="出力" xfId="31"/>
    <cellStyle name="説明文" xfId="39"/>
    <cellStyle name="通貨" xfId="42" builtinId="7"/>
    <cellStyle name="入力" xfId="30"/>
    <cellStyle name="標準" xfId="0" builtinId="0"/>
    <cellStyle name="良い"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132715</xdr:colOff>
      <xdr:row>65</xdr:row>
      <xdr:rowOff>144780</xdr:rowOff>
    </xdr:from>
    <xdr:to>
      <xdr:col>11</xdr:col>
      <xdr:colOff>533400</xdr:colOff>
      <xdr:row>72</xdr:row>
      <xdr:rowOff>20320</xdr:rowOff>
    </xdr:to>
    <xdr:sp macro="" textlink="">
      <xdr:nvSpPr>
        <xdr:cNvPr id="3536" name="左矢印吹き出し 27"/>
        <xdr:cNvSpPr>
          <a:spLocks noChangeArrowheads="1"/>
        </xdr:cNvSpPr>
      </xdr:nvSpPr>
      <xdr:spPr>
        <a:xfrm>
          <a:off x="9733915" y="10203180"/>
          <a:ext cx="2077085" cy="1361440"/>
        </a:xfrm>
        <a:prstGeom prst="leftArrowCallout">
          <a:avLst>
            <a:gd name="adj1" fmla="val 25000"/>
            <a:gd name="adj2" fmla="val 25000"/>
            <a:gd name="adj3" fmla="val 17929"/>
            <a:gd name="adj4" fmla="val 64977"/>
          </a:avLst>
        </a:prstGeom>
        <a:solidFill>
          <a:srgbClr val="5B9BD5"/>
        </a:solidFill>
        <a:ln w="12700">
          <a:solidFill>
            <a:srgbClr val="41719C"/>
          </a:solidFill>
          <a:miter/>
        </a:ln>
      </xdr:spPr>
      <xdr:txBody>
        <a:bodyPr vertOverflow="clip" horzOverflow="overflow" wrap="square" lIns="25400" tIns="6350" rIns="6350" bIns="635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○雇用労賃は、8,000円/日で算出。</a:t>
          </a: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R3（延べ６0人）</a:t>
          </a: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R4－7（延べ８0人）</a:t>
          </a:r>
        </a:p>
        <a:p>
          <a:pPr algn="l"/>
          <a:endParaRPr/>
        </a:p>
      </xdr:txBody>
    </xdr:sp>
    <xdr:clientData/>
  </xdr:twoCellAnchor>
  <xdr:twoCellAnchor>
    <xdr:from>
      <xdr:col>11</xdr:col>
      <xdr:colOff>228600</xdr:colOff>
      <xdr:row>48</xdr:row>
      <xdr:rowOff>57785</xdr:rowOff>
    </xdr:from>
    <xdr:to>
      <xdr:col>12</xdr:col>
      <xdr:colOff>686435</xdr:colOff>
      <xdr:row>54</xdr:row>
      <xdr:rowOff>123190</xdr:rowOff>
    </xdr:to>
    <xdr:sp macro="" textlink="">
      <xdr:nvSpPr>
        <xdr:cNvPr id="3538" name="左矢印吹き出し 29"/>
        <xdr:cNvSpPr>
          <a:spLocks noChangeArrowheads="1"/>
        </xdr:cNvSpPr>
      </xdr:nvSpPr>
      <xdr:spPr>
        <a:xfrm rot="-5400000">
          <a:off x="11506200" y="5963285"/>
          <a:ext cx="1334135" cy="1360805"/>
        </a:xfrm>
        <a:prstGeom prst="leftArrowCallout">
          <a:avLst>
            <a:gd name="adj1" fmla="val 15880"/>
            <a:gd name="adj2" fmla="val 16699"/>
            <a:gd name="adj3" fmla="val 19279"/>
            <a:gd name="adj4" fmla="val 64977"/>
          </a:avLst>
        </a:prstGeom>
        <a:solidFill>
          <a:srgbClr val="4F81BD"/>
        </a:solidFill>
        <a:ln w="25400">
          <a:solidFill>
            <a:srgbClr val="385D8A"/>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減価償却試算表から転記。</a:t>
          </a:r>
        </a:p>
      </xdr:txBody>
    </xdr:sp>
    <xdr:clientData/>
  </xdr:twoCellAnchor>
  <xdr:twoCellAnchor>
    <xdr:from>
      <xdr:col>4</xdr:col>
      <xdr:colOff>352425</xdr:colOff>
      <xdr:row>4</xdr:row>
      <xdr:rowOff>0</xdr:rowOff>
    </xdr:from>
    <xdr:to>
      <xdr:col>4</xdr:col>
      <xdr:colOff>694690</xdr:colOff>
      <xdr:row>4</xdr:row>
      <xdr:rowOff>139700</xdr:rowOff>
    </xdr:to>
    <xdr:sp macro="" textlink="">
      <xdr:nvSpPr>
        <xdr:cNvPr id="3548" name="円/楕円 2"/>
        <xdr:cNvSpPr>
          <a:spLocks noChangeArrowheads="1"/>
        </xdr:cNvSpPr>
      </xdr:nvSpPr>
      <xdr:spPr>
        <a:xfrm>
          <a:off x="4476750" y="952500"/>
          <a:ext cx="342265" cy="13970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5</xdr:col>
      <xdr:colOff>314960</xdr:colOff>
      <xdr:row>4</xdr:row>
      <xdr:rowOff>26035</xdr:rowOff>
    </xdr:from>
    <xdr:to>
      <xdr:col>5</xdr:col>
      <xdr:colOff>657225</xdr:colOff>
      <xdr:row>4</xdr:row>
      <xdr:rowOff>166370</xdr:rowOff>
    </xdr:to>
    <xdr:sp macro="" textlink="">
      <xdr:nvSpPr>
        <xdr:cNvPr id="3549" name="円/楕円 2"/>
        <xdr:cNvSpPr>
          <a:spLocks noChangeArrowheads="1"/>
        </xdr:cNvSpPr>
      </xdr:nvSpPr>
      <xdr:spPr>
        <a:xfrm>
          <a:off x="5534660" y="978535"/>
          <a:ext cx="342265" cy="140335"/>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6</xdr:col>
      <xdr:colOff>314960</xdr:colOff>
      <xdr:row>4</xdr:row>
      <xdr:rowOff>12700</xdr:rowOff>
    </xdr:from>
    <xdr:to>
      <xdr:col>6</xdr:col>
      <xdr:colOff>657225</xdr:colOff>
      <xdr:row>4</xdr:row>
      <xdr:rowOff>152400</xdr:rowOff>
    </xdr:to>
    <xdr:sp macro="" textlink="">
      <xdr:nvSpPr>
        <xdr:cNvPr id="3550" name="円/楕円 2"/>
        <xdr:cNvSpPr>
          <a:spLocks noChangeArrowheads="1"/>
        </xdr:cNvSpPr>
      </xdr:nvSpPr>
      <xdr:spPr>
        <a:xfrm>
          <a:off x="6630035" y="965200"/>
          <a:ext cx="342265" cy="13970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7</xdr:col>
      <xdr:colOff>343535</xdr:colOff>
      <xdr:row>4</xdr:row>
      <xdr:rowOff>19685</xdr:rowOff>
    </xdr:from>
    <xdr:to>
      <xdr:col>7</xdr:col>
      <xdr:colOff>686435</xdr:colOff>
      <xdr:row>4</xdr:row>
      <xdr:rowOff>159385</xdr:rowOff>
    </xdr:to>
    <xdr:sp macro="" textlink="">
      <xdr:nvSpPr>
        <xdr:cNvPr id="3551" name="円/楕円 2"/>
        <xdr:cNvSpPr>
          <a:spLocks noChangeArrowheads="1"/>
        </xdr:cNvSpPr>
      </xdr:nvSpPr>
      <xdr:spPr>
        <a:xfrm>
          <a:off x="7753985" y="972185"/>
          <a:ext cx="342900" cy="13970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8</xdr:col>
      <xdr:colOff>363220</xdr:colOff>
      <xdr:row>4</xdr:row>
      <xdr:rowOff>31750</xdr:rowOff>
    </xdr:from>
    <xdr:to>
      <xdr:col>8</xdr:col>
      <xdr:colOff>705485</xdr:colOff>
      <xdr:row>5</xdr:row>
      <xdr:rowOff>0</xdr:rowOff>
    </xdr:to>
    <xdr:sp macro="" textlink="">
      <xdr:nvSpPr>
        <xdr:cNvPr id="3552" name="円/楕円 2"/>
        <xdr:cNvSpPr>
          <a:spLocks noChangeArrowheads="1"/>
        </xdr:cNvSpPr>
      </xdr:nvSpPr>
      <xdr:spPr>
        <a:xfrm>
          <a:off x="8869045" y="984250"/>
          <a:ext cx="342265" cy="21590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4</xdr:col>
      <xdr:colOff>352425</xdr:colOff>
      <xdr:row>54</xdr:row>
      <xdr:rowOff>54610</xdr:rowOff>
    </xdr:from>
    <xdr:to>
      <xdr:col>4</xdr:col>
      <xdr:colOff>694690</xdr:colOff>
      <xdr:row>54</xdr:row>
      <xdr:rowOff>190500</xdr:rowOff>
    </xdr:to>
    <xdr:sp macro="" textlink="">
      <xdr:nvSpPr>
        <xdr:cNvPr id="3558" name="円/楕円 2"/>
        <xdr:cNvSpPr>
          <a:spLocks noChangeArrowheads="1"/>
        </xdr:cNvSpPr>
      </xdr:nvSpPr>
      <xdr:spPr>
        <a:xfrm flipV="1">
          <a:off x="4476750" y="7255510"/>
          <a:ext cx="342265" cy="13589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5</xdr:col>
      <xdr:colOff>314960</xdr:colOff>
      <xdr:row>54</xdr:row>
      <xdr:rowOff>67310</xdr:rowOff>
    </xdr:from>
    <xdr:to>
      <xdr:col>5</xdr:col>
      <xdr:colOff>657225</xdr:colOff>
      <xdr:row>54</xdr:row>
      <xdr:rowOff>203200</xdr:rowOff>
    </xdr:to>
    <xdr:sp macro="" textlink="">
      <xdr:nvSpPr>
        <xdr:cNvPr id="3563" name="円/楕円 2"/>
        <xdr:cNvSpPr>
          <a:spLocks noChangeArrowheads="1"/>
        </xdr:cNvSpPr>
      </xdr:nvSpPr>
      <xdr:spPr>
        <a:xfrm flipV="1">
          <a:off x="5534660" y="7268210"/>
          <a:ext cx="342265" cy="13589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6</xdr:col>
      <xdr:colOff>324485</xdr:colOff>
      <xdr:row>54</xdr:row>
      <xdr:rowOff>76835</xdr:rowOff>
    </xdr:from>
    <xdr:to>
      <xdr:col>6</xdr:col>
      <xdr:colOff>667385</xdr:colOff>
      <xdr:row>54</xdr:row>
      <xdr:rowOff>212725</xdr:rowOff>
    </xdr:to>
    <xdr:sp macro="" textlink="">
      <xdr:nvSpPr>
        <xdr:cNvPr id="3564" name="円/楕円 2"/>
        <xdr:cNvSpPr>
          <a:spLocks noChangeArrowheads="1"/>
        </xdr:cNvSpPr>
      </xdr:nvSpPr>
      <xdr:spPr>
        <a:xfrm flipV="1">
          <a:off x="6639560" y="7277735"/>
          <a:ext cx="342900" cy="13589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7</xdr:col>
      <xdr:colOff>343535</xdr:colOff>
      <xdr:row>54</xdr:row>
      <xdr:rowOff>57150</xdr:rowOff>
    </xdr:from>
    <xdr:to>
      <xdr:col>7</xdr:col>
      <xdr:colOff>686435</xdr:colOff>
      <xdr:row>54</xdr:row>
      <xdr:rowOff>193040</xdr:rowOff>
    </xdr:to>
    <xdr:sp macro="" textlink="">
      <xdr:nvSpPr>
        <xdr:cNvPr id="3565" name="円/楕円 2"/>
        <xdr:cNvSpPr>
          <a:spLocks noChangeArrowheads="1"/>
        </xdr:cNvSpPr>
      </xdr:nvSpPr>
      <xdr:spPr>
        <a:xfrm flipV="1">
          <a:off x="7753985" y="7258050"/>
          <a:ext cx="342900" cy="13589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8</xdr:col>
      <xdr:colOff>334010</xdr:colOff>
      <xdr:row>54</xdr:row>
      <xdr:rowOff>67310</xdr:rowOff>
    </xdr:from>
    <xdr:to>
      <xdr:col>8</xdr:col>
      <xdr:colOff>676910</xdr:colOff>
      <xdr:row>54</xdr:row>
      <xdr:rowOff>203200</xdr:rowOff>
    </xdr:to>
    <xdr:sp macro="" textlink="">
      <xdr:nvSpPr>
        <xdr:cNvPr id="3566" name="円/楕円 2"/>
        <xdr:cNvSpPr>
          <a:spLocks noChangeArrowheads="1"/>
        </xdr:cNvSpPr>
      </xdr:nvSpPr>
      <xdr:spPr>
        <a:xfrm flipV="1">
          <a:off x="8839835" y="7268210"/>
          <a:ext cx="342900" cy="13589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9</xdr:col>
      <xdr:colOff>295275</xdr:colOff>
      <xdr:row>8</xdr:row>
      <xdr:rowOff>28575</xdr:rowOff>
    </xdr:from>
    <xdr:to>
      <xdr:col>12</xdr:col>
      <xdr:colOff>876300</xdr:colOff>
      <xdr:row>20</xdr:row>
      <xdr:rowOff>180340</xdr:rowOff>
    </xdr:to>
    <xdr:sp macro="" textlink="">
      <xdr:nvSpPr>
        <xdr:cNvPr id="3567" name="左矢印吹き出し 28"/>
        <xdr:cNvSpPr>
          <a:spLocks noChangeArrowheads="1"/>
        </xdr:cNvSpPr>
      </xdr:nvSpPr>
      <xdr:spPr>
        <a:xfrm>
          <a:off x="9896475" y="1952625"/>
          <a:ext cx="3133725" cy="2323465"/>
        </a:xfrm>
        <a:prstGeom prst="leftArrowCallout">
          <a:avLst>
            <a:gd name="adj1" fmla="val 12676"/>
            <a:gd name="adj2" fmla="val 17065"/>
            <a:gd name="adj3" fmla="val 13936"/>
            <a:gd name="adj4" fmla="val 64977"/>
          </a:avLst>
        </a:prstGeom>
        <a:solidFill>
          <a:srgbClr val="4F81BD"/>
        </a:solidFill>
        <a:ln w="25400">
          <a:solidFill>
            <a:srgbClr val="385D8A"/>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○早生は一部苗木（1年生：20a）</a:t>
          </a:r>
        </a:p>
        <a:p>
          <a:pPr algn="l"/>
          <a:endParaRP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○ゆずは苗木（2年生）。</a:t>
          </a:r>
        </a:p>
        <a:p>
          <a:pPr algn="l"/>
          <a:endParaRP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○R3年から経営開始であり、年内収穫は極早生のみ。</a:t>
          </a:r>
        </a:p>
        <a:p>
          <a:pPr algn="l"/>
          <a:endParaRP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○20号は4年目に新たに借り受け。</a:t>
          </a:r>
        </a:p>
        <a:p>
          <a:pPr algn="l"/>
          <a:endParaRP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○河内晩柑5aを4年目に甘平に改植</a:t>
          </a: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　</a:t>
          </a: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　　　　　　　</a:t>
          </a:r>
        </a:p>
      </xdr:txBody>
    </xdr:sp>
    <xdr:clientData/>
  </xdr:twoCellAnchor>
  <xdr:twoCellAnchor editAs="oneCell">
    <xdr:from>
      <xdr:col>1</xdr:col>
      <xdr:colOff>1019175</xdr:colOff>
      <xdr:row>24</xdr:row>
      <xdr:rowOff>152400</xdr:rowOff>
    </xdr:from>
    <xdr:to>
      <xdr:col>8</xdr:col>
      <xdr:colOff>485140</xdr:colOff>
      <xdr:row>28</xdr:row>
      <xdr:rowOff>152400</xdr:rowOff>
    </xdr:to>
    <xdr:pic>
      <xdr:nvPicPr>
        <xdr:cNvPr id="3569" name="図 15"/>
        <xdr:cNvPicPr>
          <a:picLocks noChangeAspect="1"/>
        </xdr:cNvPicPr>
      </xdr:nvPicPr>
      <xdr:blipFill>
        <a:blip xmlns:r="http://schemas.openxmlformats.org/officeDocument/2006/relationships" r:embed="rId1"/>
        <a:stretch>
          <a:fillRect/>
        </a:stretch>
      </xdr:blipFill>
      <xdr:spPr>
        <a:xfrm>
          <a:off x="1257300" y="4972050"/>
          <a:ext cx="7733665" cy="723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287655</xdr:colOff>
      <xdr:row>4</xdr:row>
      <xdr:rowOff>0</xdr:rowOff>
    </xdr:from>
    <xdr:to>
      <xdr:col>4</xdr:col>
      <xdr:colOff>568325</xdr:colOff>
      <xdr:row>4</xdr:row>
      <xdr:rowOff>139700</xdr:rowOff>
    </xdr:to>
    <xdr:sp macro="" textlink="">
      <xdr:nvSpPr>
        <xdr:cNvPr id="7" name="円/楕円 6"/>
        <xdr:cNvSpPr>
          <a:spLocks noChangeArrowheads="1"/>
        </xdr:cNvSpPr>
      </xdr:nvSpPr>
      <xdr:spPr>
        <a:xfrm>
          <a:off x="3440430" y="1047750"/>
          <a:ext cx="280670" cy="13970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5</xdr:col>
      <xdr:colOff>257175</xdr:colOff>
      <xdr:row>4</xdr:row>
      <xdr:rowOff>26035</xdr:rowOff>
    </xdr:from>
    <xdr:to>
      <xdr:col>5</xdr:col>
      <xdr:colOff>537210</xdr:colOff>
      <xdr:row>4</xdr:row>
      <xdr:rowOff>166370</xdr:rowOff>
    </xdr:to>
    <xdr:sp macro="" textlink="">
      <xdr:nvSpPr>
        <xdr:cNvPr id="8" name="円/楕円 7"/>
        <xdr:cNvSpPr>
          <a:spLocks noChangeArrowheads="1"/>
        </xdr:cNvSpPr>
      </xdr:nvSpPr>
      <xdr:spPr>
        <a:xfrm>
          <a:off x="4305300" y="1073785"/>
          <a:ext cx="280035" cy="140335"/>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6</xdr:col>
      <xdr:colOff>257175</xdr:colOff>
      <xdr:row>4</xdr:row>
      <xdr:rowOff>12700</xdr:rowOff>
    </xdr:from>
    <xdr:to>
      <xdr:col>6</xdr:col>
      <xdr:colOff>537210</xdr:colOff>
      <xdr:row>4</xdr:row>
      <xdr:rowOff>152400</xdr:rowOff>
    </xdr:to>
    <xdr:sp macro="" textlink="">
      <xdr:nvSpPr>
        <xdr:cNvPr id="9" name="円/楕円 8"/>
        <xdr:cNvSpPr>
          <a:spLocks noChangeArrowheads="1"/>
        </xdr:cNvSpPr>
      </xdr:nvSpPr>
      <xdr:spPr>
        <a:xfrm>
          <a:off x="5200650" y="1060450"/>
          <a:ext cx="280035" cy="13970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7</xdr:col>
      <xdr:colOff>280670</xdr:colOff>
      <xdr:row>4</xdr:row>
      <xdr:rowOff>19685</xdr:rowOff>
    </xdr:from>
    <xdr:to>
      <xdr:col>7</xdr:col>
      <xdr:colOff>560705</xdr:colOff>
      <xdr:row>4</xdr:row>
      <xdr:rowOff>159385</xdr:rowOff>
    </xdr:to>
    <xdr:sp macro="" textlink="">
      <xdr:nvSpPr>
        <xdr:cNvPr id="10" name="円/楕円 9"/>
        <xdr:cNvSpPr>
          <a:spLocks noChangeArrowheads="1"/>
        </xdr:cNvSpPr>
      </xdr:nvSpPr>
      <xdr:spPr>
        <a:xfrm>
          <a:off x="6119495" y="1067435"/>
          <a:ext cx="280035" cy="13970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xdr:from>
      <xdr:col>8</xdr:col>
      <xdr:colOff>296545</xdr:colOff>
      <xdr:row>4</xdr:row>
      <xdr:rowOff>31750</xdr:rowOff>
    </xdr:from>
    <xdr:to>
      <xdr:col>8</xdr:col>
      <xdr:colOff>576580</xdr:colOff>
      <xdr:row>4</xdr:row>
      <xdr:rowOff>247650</xdr:rowOff>
    </xdr:to>
    <xdr:sp macro="" textlink="">
      <xdr:nvSpPr>
        <xdr:cNvPr id="11" name="円/楕円 10"/>
        <xdr:cNvSpPr>
          <a:spLocks noChangeArrowheads="1"/>
        </xdr:cNvSpPr>
      </xdr:nvSpPr>
      <xdr:spPr>
        <a:xfrm>
          <a:off x="7030720" y="1079500"/>
          <a:ext cx="280035" cy="215900"/>
        </a:xfrm>
        <a:prstGeom prst="ellipse">
          <a:avLst/>
        </a:prstGeom>
        <a:noFill/>
        <a:ln w="6350">
          <a:solidFill>
            <a:sysClr val="windowText" lastClr="000000"/>
          </a:solidFill>
          <a:miter/>
        </a:ln>
      </xdr:spPr>
      <xdr:txBody>
        <a:bodyPr vertOverflow="overflow" horzOverflow="overflow" upright="1"/>
        <a:lstStyle/>
        <a:p>
          <a:endParaRPr/>
        </a:p>
      </xdr:txBody>
    </xdr:sp>
    <xdr:clientData/>
  </xdr:twoCellAnchor>
  <xdr:twoCellAnchor editAs="oneCell">
    <xdr:from>
      <xdr:col>1</xdr:col>
      <xdr:colOff>170815</xdr:colOff>
      <xdr:row>22</xdr:row>
      <xdr:rowOff>170815</xdr:rowOff>
    </xdr:from>
    <xdr:to>
      <xdr:col>8</xdr:col>
      <xdr:colOff>579120</xdr:colOff>
      <xdr:row>27</xdr:row>
      <xdr:rowOff>27305</xdr:rowOff>
    </xdr:to>
    <xdr:pic>
      <xdr:nvPicPr>
        <xdr:cNvPr id="12" name="図 6"/>
        <xdr:cNvPicPr>
          <a:picLocks noChangeAspect="1"/>
        </xdr:cNvPicPr>
      </xdr:nvPicPr>
      <xdr:blipFill>
        <a:blip xmlns:r="http://schemas.openxmlformats.org/officeDocument/2006/relationships" r:embed="rId1"/>
        <a:stretch>
          <a:fillRect/>
        </a:stretch>
      </xdr:blipFill>
      <xdr:spPr>
        <a:xfrm>
          <a:off x="418465" y="4314190"/>
          <a:ext cx="6894830" cy="7232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180975</xdr:colOff>
      <xdr:row>25</xdr:row>
      <xdr:rowOff>66675</xdr:rowOff>
    </xdr:from>
    <xdr:to>
      <xdr:col>13</xdr:col>
      <xdr:colOff>438150</xdr:colOff>
      <xdr:row>40</xdr:row>
      <xdr:rowOff>104775</xdr:rowOff>
    </xdr:to>
    <xdr:sp macro="" textlink="">
      <xdr:nvSpPr>
        <xdr:cNvPr id="6145" name="左矢印吹き出し 28"/>
        <xdr:cNvSpPr>
          <a:spLocks noChangeArrowheads="1"/>
        </xdr:cNvSpPr>
      </xdr:nvSpPr>
      <xdr:spPr>
        <a:xfrm>
          <a:off x="10372725" y="3810000"/>
          <a:ext cx="3133725" cy="2019300"/>
        </a:xfrm>
        <a:prstGeom prst="leftArrowCallout">
          <a:avLst>
            <a:gd name="adj1" fmla="val 12676"/>
            <a:gd name="adj2" fmla="val 17065"/>
            <a:gd name="adj3" fmla="val 13933"/>
            <a:gd name="adj4" fmla="val 64977"/>
          </a:avLst>
        </a:prstGeom>
        <a:solidFill>
          <a:srgbClr val="4F81BD"/>
        </a:solidFill>
        <a:ln w="25400">
          <a:solidFill>
            <a:srgbClr val="385D8A"/>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○早生は一部苗木（1年生：20a）</a:t>
          </a:r>
        </a:p>
        <a:p>
          <a:pPr algn="l"/>
          <a:endParaRP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○28号（3年生）、ゆず（2年生）は苗木。</a:t>
          </a:r>
        </a:p>
        <a:p>
          <a:pPr algn="l"/>
          <a:endParaRP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○R3年から経営開始であり、年内収穫は極早生のみ。</a:t>
          </a:r>
        </a:p>
        <a:p>
          <a:pPr algn="l"/>
          <a:endParaRP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○20号は4年目に新たに借り受け。</a:t>
          </a:r>
        </a:p>
        <a:p>
          <a:pPr algn="l"/>
          <a:endParaRP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○河内晩柑5aを4年目に28号に改植</a:t>
          </a: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　</a:t>
          </a:r>
        </a:p>
        <a:p>
          <a:pPr algn="l">
            <a:lnSpc>
              <a:spcPts val="135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　　　　　　　</a:t>
          </a:r>
        </a:p>
      </xdr:txBody>
    </xdr:sp>
    <xdr:clientData/>
  </xdr:twoCellAnchor>
  <xdr:twoCellAnchor editAs="oneCell">
    <xdr:from>
      <xdr:col>1</xdr:col>
      <xdr:colOff>0</xdr:colOff>
      <xdr:row>86</xdr:row>
      <xdr:rowOff>0</xdr:rowOff>
    </xdr:from>
    <xdr:to>
      <xdr:col>7</xdr:col>
      <xdr:colOff>151130</xdr:colOff>
      <xdr:row>90</xdr:row>
      <xdr:rowOff>114300</xdr:rowOff>
    </xdr:to>
    <xdr:pic>
      <xdr:nvPicPr>
        <xdr:cNvPr id="6146" name="図 6"/>
        <xdr:cNvPicPr>
          <a:picLocks noChangeAspect="1"/>
        </xdr:cNvPicPr>
      </xdr:nvPicPr>
      <xdr:blipFill>
        <a:blip xmlns:r="http://schemas.openxmlformats.org/officeDocument/2006/relationships" r:embed="rId1"/>
        <a:stretch>
          <a:fillRect/>
        </a:stretch>
      </xdr:blipFill>
      <xdr:spPr>
        <a:xfrm>
          <a:off x="1114425" y="5724525"/>
          <a:ext cx="7428230" cy="723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477520</xdr:colOff>
      <xdr:row>9</xdr:row>
      <xdr:rowOff>127635</xdr:rowOff>
    </xdr:from>
    <xdr:to>
      <xdr:col>5</xdr:col>
      <xdr:colOff>734060</xdr:colOff>
      <xdr:row>11</xdr:row>
      <xdr:rowOff>262255</xdr:rowOff>
    </xdr:to>
    <xdr:pic>
      <xdr:nvPicPr>
        <xdr:cNvPr id="2" name="図 1"/>
        <xdr:cNvPicPr>
          <a:picLocks noChangeAspect="1"/>
        </xdr:cNvPicPr>
      </xdr:nvPicPr>
      <xdr:blipFill>
        <a:blip xmlns:r="http://schemas.openxmlformats.org/officeDocument/2006/relationships" r:embed="rId1"/>
        <a:stretch>
          <a:fillRect/>
        </a:stretch>
      </xdr:blipFill>
      <xdr:spPr>
        <a:xfrm>
          <a:off x="477520" y="3590925"/>
          <a:ext cx="5723890" cy="723265"/>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view="pageBreakPreview" topLeftCell="A15" zoomScale="70" zoomScaleSheetLayoutView="70" workbookViewId="0">
      <selection activeCell="K50" sqref="K50"/>
    </sheetView>
  </sheetViews>
  <sheetFormatPr defaultRowHeight="13" x14ac:dyDescent="0.2"/>
  <cols>
    <col min="1" max="1" width="3.08984375" style="1" customWidth="1"/>
    <col min="2" max="2" width="13.7265625" style="2" customWidth="1"/>
    <col min="3" max="3" width="10.90625" style="1" customWidth="1"/>
    <col min="4" max="4" width="26.36328125" style="1" hidden="1" customWidth="1"/>
    <col min="5" max="9" width="14.36328125" style="1" customWidth="1"/>
    <col min="10" max="10" width="9" style="1" bestFit="1" customWidth="1"/>
    <col min="11" max="11" width="13" style="1" customWidth="1"/>
    <col min="12" max="12" width="11.453125" style="1" customWidth="1"/>
    <col min="13" max="16" width="11.6328125" style="1" bestFit="1" customWidth="1"/>
    <col min="17" max="16383" width="9" style="1" bestFit="1" customWidth="1"/>
    <col min="16384" max="16384" width="9" style="1" customWidth="1"/>
  </cols>
  <sheetData>
    <row r="1" spans="1:11" ht="15" customHeight="1" x14ac:dyDescent="0.2">
      <c r="A1" s="1" t="s">
        <v>2</v>
      </c>
    </row>
    <row r="2" spans="1:11" ht="22.5" customHeight="1" x14ac:dyDescent="0.2">
      <c r="A2" s="151" t="s">
        <v>5</v>
      </c>
      <c r="B2" s="151"/>
      <c r="C2" s="151"/>
      <c r="D2" s="151"/>
      <c r="E2" s="151"/>
      <c r="F2" s="151"/>
      <c r="G2" s="151"/>
      <c r="H2" s="151"/>
      <c r="I2" s="151"/>
    </row>
    <row r="3" spans="1:11" ht="24" customHeight="1" x14ac:dyDescent="0.2">
      <c r="E3" s="20"/>
      <c r="F3" s="20"/>
      <c r="G3" s="20"/>
      <c r="H3" s="37" t="s">
        <v>101</v>
      </c>
      <c r="I3" s="20"/>
    </row>
    <row r="4" spans="1:11" x14ac:dyDescent="0.2">
      <c r="A4" s="143"/>
      <c r="B4" s="143"/>
      <c r="C4" s="143"/>
      <c r="D4" s="17"/>
      <c r="E4" s="152" t="s">
        <v>6</v>
      </c>
      <c r="F4" s="152"/>
      <c r="G4" s="152"/>
      <c r="H4" s="152"/>
      <c r="I4" s="152"/>
    </row>
    <row r="5" spans="1:11" ht="19.5" customHeight="1" x14ac:dyDescent="0.2">
      <c r="A5" s="143"/>
      <c r="B5" s="143"/>
      <c r="C5" s="143"/>
      <c r="D5" s="17"/>
      <c r="E5" s="21" t="s">
        <v>7</v>
      </c>
      <c r="F5" s="21" t="s">
        <v>10</v>
      </c>
      <c r="G5" s="21" t="s">
        <v>9</v>
      </c>
      <c r="H5" s="21" t="s">
        <v>15</v>
      </c>
      <c r="I5" s="21" t="s">
        <v>3</v>
      </c>
    </row>
    <row r="6" spans="1:11" ht="28.5" customHeight="1" x14ac:dyDescent="0.2">
      <c r="A6" s="143"/>
      <c r="B6" s="143"/>
      <c r="C6" s="143"/>
      <c r="D6" s="17"/>
      <c r="E6" s="22" t="s">
        <v>16</v>
      </c>
      <c r="F6" s="22" t="s">
        <v>0</v>
      </c>
      <c r="G6" s="22" t="s">
        <v>18</v>
      </c>
      <c r="H6" s="22" t="s">
        <v>22</v>
      </c>
      <c r="I6" s="22" t="s">
        <v>23</v>
      </c>
    </row>
    <row r="7" spans="1:11" ht="14.25" customHeight="1" x14ac:dyDescent="0.2">
      <c r="A7" s="132" t="s">
        <v>20</v>
      </c>
      <c r="B7" s="144" t="str">
        <f>品種別詳細表!A4</f>
        <v>早生温州</v>
      </c>
      <c r="C7" s="13" t="s">
        <v>24</v>
      </c>
      <c r="D7" s="18" t="str">
        <f>$B$7&amp;C7</f>
        <v>早生温州経営規模(a)</v>
      </c>
      <c r="E7" s="23">
        <f>VLOOKUP($D7,品種別詳細表!$C$4:$H$86,2,1)</f>
        <v>50</v>
      </c>
      <c r="F7" s="23">
        <f>VLOOKUP($D7,品種別詳細表!$C$4:$H$86,3,1)</f>
        <v>50</v>
      </c>
      <c r="G7" s="23">
        <f>VLOOKUP($D7,品種別詳細表!$C$4:$H$86,4,1)</f>
        <v>50</v>
      </c>
      <c r="H7" s="23">
        <f>VLOOKUP($D7,品種別詳細表!$C$4:$H$86,5,1)</f>
        <v>50</v>
      </c>
      <c r="I7" s="23">
        <f>VLOOKUP($D7,品種別詳細表!$C$4:$H$86,6,1)</f>
        <v>50</v>
      </c>
      <c r="K7" s="40"/>
    </row>
    <row r="8" spans="1:11" ht="14.25" customHeight="1" x14ac:dyDescent="0.2">
      <c r="A8" s="133"/>
      <c r="B8" s="145"/>
      <c r="C8" s="13" t="s">
        <v>28</v>
      </c>
      <c r="D8" s="18" t="str">
        <f>$B$7&amp;C8</f>
        <v>早生温州生産量(kg)</v>
      </c>
      <c r="E8" s="23">
        <f>VLOOKUP($D8,品種別詳細表!$C$4:$H$86,2,1)</f>
        <v>6000</v>
      </c>
      <c r="F8" s="23">
        <f>VLOOKUP($D8,品種別詳細表!$C$4:$H$86,3,1)</f>
        <v>8000</v>
      </c>
      <c r="G8" s="23">
        <f>VLOOKUP($D8,品種別詳細表!$C$4:$H$86,4,1)</f>
        <v>9000</v>
      </c>
      <c r="H8" s="23">
        <f>VLOOKUP($D8,品種別詳細表!$C$4:$H$86,5,1)</f>
        <v>9000</v>
      </c>
      <c r="I8" s="23">
        <f>VLOOKUP($D8,品種別詳細表!$C$4:$H$86,6,1)</f>
        <v>12000</v>
      </c>
    </row>
    <row r="9" spans="1:11" ht="14.25" customHeight="1" x14ac:dyDescent="0.2">
      <c r="A9" s="133"/>
      <c r="B9" s="145"/>
      <c r="C9" s="13" t="s">
        <v>26</v>
      </c>
      <c r="D9" s="18" t="str">
        <f>$B$7&amp;C9</f>
        <v>早生温州売上高</v>
      </c>
      <c r="E9" s="23">
        <f>VLOOKUP($D9,品種別詳細表!$C$4:$H$86,2,1)</f>
        <v>780000</v>
      </c>
      <c r="F9" s="31">
        <f>VLOOKUP($D9,品種別詳細表!$C$4:$H$86,3,1)</f>
        <v>1040000</v>
      </c>
      <c r="G9" s="31">
        <f>VLOOKUP($D9,品種別詳細表!$C$4:$H$86,4,1)</f>
        <v>1170000</v>
      </c>
      <c r="H9" s="31">
        <f>VLOOKUP($D9,品種別詳細表!$C$4:$H$86,5,1)</f>
        <v>1260000</v>
      </c>
      <c r="I9" s="31">
        <f>VLOOKUP($D9,品種別詳細表!$C$4:$H$86,6,1)</f>
        <v>1800000</v>
      </c>
    </row>
    <row r="10" spans="1:11" ht="14.25" customHeight="1" x14ac:dyDescent="0.2">
      <c r="A10" s="133"/>
      <c r="B10" s="144" t="str">
        <f>品種別詳細表!A10</f>
        <v>南柑20号</v>
      </c>
      <c r="C10" s="13" t="s">
        <v>24</v>
      </c>
      <c r="D10" s="18" t="str">
        <f>$B$10&amp;C10</f>
        <v>南柑20号経営規模(a)</v>
      </c>
      <c r="E10" s="23">
        <f>VLOOKUP($D10,品種別詳細表!$C$4:$H$86,2,1)</f>
        <v>30</v>
      </c>
      <c r="F10" s="23">
        <f>VLOOKUP($D10,品種別詳細表!$C$4:$H$86,3,1)</f>
        <v>30</v>
      </c>
      <c r="G10" s="23">
        <f>VLOOKUP($D10,品種別詳細表!$C$4:$H$86,4,1)</f>
        <v>30</v>
      </c>
      <c r="H10" s="23">
        <f>VLOOKUP($D10,品種別詳細表!$C$4:$H$86,5,1)</f>
        <v>50</v>
      </c>
      <c r="I10" s="23">
        <f>VLOOKUP($D10,品種別詳細表!$C$4:$H$86,6,1)</f>
        <v>50</v>
      </c>
    </row>
    <row r="11" spans="1:11" ht="14.25" customHeight="1" x14ac:dyDescent="0.2">
      <c r="A11" s="133"/>
      <c r="B11" s="145"/>
      <c r="C11" s="13" t="s">
        <v>28</v>
      </c>
      <c r="D11" s="18" t="str">
        <f>$B$10&amp;C11</f>
        <v>南柑20号生産量(kg)</v>
      </c>
      <c r="E11" s="23">
        <f>VLOOKUP($D11,品種別詳細表!$C$4:$H$86,2,1)</f>
        <v>9000</v>
      </c>
      <c r="F11" s="23">
        <f>VLOOKUP($D11,品種別詳細表!$C$4:$H$86,3,1)</f>
        <v>8000</v>
      </c>
      <c r="G11" s="23">
        <f>VLOOKUP($D11,品種別詳細表!$C$4:$H$86,4,1)</f>
        <v>9000</v>
      </c>
      <c r="H11" s="23">
        <f>VLOOKUP($D11,品種別詳細表!$C$4:$H$86,5,1)</f>
        <v>14000</v>
      </c>
      <c r="I11" s="23">
        <f>VLOOKUP($D11,品種別詳細表!$C$4:$H$86,6,1)</f>
        <v>16000</v>
      </c>
    </row>
    <row r="12" spans="1:11" ht="14.25" customHeight="1" x14ac:dyDescent="0.2">
      <c r="A12" s="133"/>
      <c r="B12" s="145"/>
      <c r="C12" s="13" t="s">
        <v>26</v>
      </c>
      <c r="D12" s="18" t="str">
        <f>$B$10&amp;C12</f>
        <v>南柑20号売上高</v>
      </c>
      <c r="E12" s="23">
        <f>VLOOKUP($D12,品種別詳細表!$C$4:$H$86,2,1)</f>
        <v>1350000</v>
      </c>
      <c r="F12" s="31">
        <f>VLOOKUP($D12,品種別詳細表!$C$4:$H$86,3,1)</f>
        <v>1200000</v>
      </c>
      <c r="G12" s="31">
        <f>VLOOKUP($D12,品種別詳細表!$C$4:$H$86,4,1)</f>
        <v>1350000</v>
      </c>
      <c r="H12" s="31">
        <f>VLOOKUP($D12,品種別詳細表!$C$4:$H$86,5,1)</f>
        <v>2240000</v>
      </c>
      <c r="I12" s="31">
        <f>VLOOKUP($D12,品種別詳細表!$C$4:$H$86,6,1)</f>
        <v>2720000</v>
      </c>
    </row>
    <row r="13" spans="1:11" ht="14.25" customHeight="1" x14ac:dyDescent="0.2">
      <c r="A13" s="133"/>
      <c r="B13" s="144" t="str">
        <f>品種別詳細表!A16</f>
        <v>普通ポンカン</v>
      </c>
      <c r="C13" s="13" t="s">
        <v>24</v>
      </c>
      <c r="D13" s="18" t="str">
        <f>$B$13&amp;C13</f>
        <v>普通ポンカン経営規模(a)</v>
      </c>
      <c r="E13" s="23">
        <f>VLOOKUP($D13,品種別詳細表!$C$4:$H$86,2,1)</f>
        <v>20</v>
      </c>
      <c r="F13" s="23">
        <f>VLOOKUP($D13,品種別詳細表!$C$4:$H$86,3,1)</f>
        <v>20</v>
      </c>
      <c r="G13" s="23">
        <f>VLOOKUP($D13,品種別詳細表!$C$4:$H$86,4,1)</f>
        <v>20</v>
      </c>
      <c r="H13" s="23">
        <f>VLOOKUP($D13,品種別詳細表!$C$4:$H$86,5,1)</f>
        <v>20</v>
      </c>
      <c r="I13" s="23">
        <f>VLOOKUP($D13,品種別詳細表!$C$4:$H$86,6,1)</f>
        <v>20</v>
      </c>
    </row>
    <row r="14" spans="1:11" ht="14.25" customHeight="1" x14ac:dyDescent="0.2">
      <c r="A14" s="133"/>
      <c r="B14" s="145"/>
      <c r="C14" s="13" t="s">
        <v>28</v>
      </c>
      <c r="D14" s="18" t="str">
        <f>$B$13&amp;C14</f>
        <v>普通ポンカン生産量(kg)</v>
      </c>
      <c r="E14" s="23">
        <f>VLOOKUP($D14,品種別詳細表!$C$4:$H$86,2,1)</f>
        <v>0</v>
      </c>
      <c r="F14" s="23">
        <f>VLOOKUP($D14,品種別詳細表!$C$4:$H$86,3,1)</f>
        <v>4500</v>
      </c>
      <c r="G14" s="23">
        <f>VLOOKUP($D14,品種別詳細表!$C$4:$H$86,4,1)</f>
        <v>5500</v>
      </c>
      <c r="H14" s="23">
        <f>VLOOKUP($D14,品種別詳細表!$C$4:$H$86,5,1)</f>
        <v>5000</v>
      </c>
      <c r="I14" s="23">
        <f>VLOOKUP($D14,品種別詳細表!$C$4:$H$86,6,1)</f>
        <v>6000</v>
      </c>
    </row>
    <row r="15" spans="1:11" ht="14.25" customHeight="1" x14ac:dyDescent="0.2">
      <c r="A15" s="133"/>
      <c r="B15" s="145"/>
      <c r="C15" s="13" t="s">
        <v>26</v>
      </c>
      <c r="D15" s="18" t="str">
        <f>$B$13&amp;C15</f>
        <v>普通ポンカン売上高</v>
      </c>
      <c r="E15" s="23">
        <f>VLOOKUP($D15,品種別詳細表!$C$4:$H$86,2,1)</f>
        <v>0</v>
      </c>
      <c r="F15" s="31">
        <f>VLOOKUP($D15,品種別詳細表!$C$4:$H$86,3,1)</f>
        <v>585000</v>
      </c>
      <c r="G15" s="31">
        <f>VLOOKUP($D15,品種別詳細表!$C$4:$H$86,4,1)</f>
        <v>715000</v>
      </c>
      <c r="H15" s="31">
        <f>VLOOKUP($D15,品種別詳細表!$C$4:$H$86,5,1)</f>
        <v>700000</v>
      </c>
      <c r="I15" s="31">
        <f>VLOOKUP($D15,品種別詳細表!$C$4:$H$86,6,1)</f>
        <v>960000</v>
      </c>
    </row>
    <row r="16" spans="1:11" ht="14.25" customHeight="1" x14ac:dyDescent="0.2">
      <c r="A16" s="133"/>
      <c r="B16" s="144" t="str">
        <f>品種別詳細表!A22</f>
        <v>愛媛果試第28号</v>
      </c>
      <c r="C16" s="13" t="s">
        <v>24</v>
      </c>
      <c r="D16" s="18" t="str">
        <f>$B$16&amp;C16</f>
        <v>愛媛果試第28号経営規模(a)</v>
      </c>
      <c r="E16" s="23">
        <f>VLOOKUP($D16,品種別詳細表!$C$4:$H$86,2,1)</f>
        <v>15</v>
      </c>
      <c r="F16" s="23">
        <f>VLOOKUP($D16,品種別詳細表!$C$4:$H$86,3,1)</f>
        <v>15</v>
      </c>
      <c r="G16" s="23">
        <f>VLOOKUP($D16,品種別詳細表!$C$4:$H$86,4,1)</f>
        <v>15</v>
      </c>
      <c r="H16" s="23">
        <f>VLOOKUP($D16,品種別詳細表!$C$4:$H$86,5,1)</f>
        <v>20</v>
      </c>
      <c r="I16" s="23">
        <f>VLOOKUP($D16,品種別詳細表!$C$4:$H$86,6,1)</f>
        <v>20</v>
      </c>
    </row>
    <row r="17" spans="1:9" ht="14.25" customHeight="1" x14ac:dyDescent="0.2">
      <c r="A17" s="133"/>
      <c r="B17" s="145"/>
      <c r="C17" s="13" t="s">
        <v>28</v>
      </c>
      <c r="D17" s="18" t="str">
        <f>$B$16&amp;C17</f>
        <v>愛媛果試第28号生産量(kg)</v>
      </c>
      <c r="E17" s="23">
        <f>VLOOKUP($D17,品種別詳細表!$C$4:$H$86,2,1)</f>
        <v>0</v>
      </c>
      <c r="F17" s="23">
        <f>VLOOKUP($D17,品種別詳細表!$C$4:$H$86,3,1)</f>
        <v>0</v>
      </c>
      <c r="G17" s="23">
        <f>VLOOKUP($D17,品種別詳細表!$C$4:$H$86,4,1)</f>
        <v>0</v>
      </c>
      <c r="H17" s="23">
        <f>VLOOKUP($D17,品種別詳細表!$C$4:$H$86,5,1)</f>
        <v>1000</v>
      </c>
      <c r="I17" s="23">
        <f>VLOOKUP($D17,品種別詳細表!$C$4:$H$86,6,1)</f>
        <v>2000</v>
      </c>
    </row>
    <row r="18" spans="1:9" ht="14.25" customHeight="1" x14ac:dyDescent="0.2">
      <c r="A18" s="133"/>
      <c r="B18" s="145"/>
      <c r="C18" s="13" t="s">
        <v>26</v>
      </c>
      <c r="D18" s="18" t="str">
        <f>$B$16&amp;C18</f>
        <v>愛媛果試第28号売上高</v>
      </c>
      <c r="E18" s="23">
        <f>VLOOKUP($D18,品種別詳細表!$C$4:$H$86,2,1)</f>
        <v>0</v>
      </c>
      <c r="F18" s="31">
        <f>VLOOKUP($D18,品種別詳細表!$C$4:$H$86,3,1)</f>
        <v>0</v>
      </c>
      <c r="G18" s="31">
        <f>VLOOKUP($D18,品種別詳細表!$C$4:$H$86,4,1)</f>
        <v>0</v>
      </c>
      <c r="H18" s="31">
        <f>VLOOKUP($D18,品種別詳細表!$C$4:$H$86,5,1)</f>
        <v>400000</v>
      </c>
      <c r="I18" s="31">
        <f>VLOOKUP($D18,品種別詳細表!$C$4:$H$86,6,1)</f>
        <v>900000</v>
      </c>
    </row>
    <row r="19" spans="1:9" ht="14.25" customHeight="1" x14ac:dyDescent="0.2">
      <c r="A19" s="133"/>
      <c r="B19" s="146" t="str">
        <f>品種別詳細表!A28</f>
        <v>河内晩柑</v>
      </c>
      <c r="C19" s="13" t="s">
        <v>24</v>
      </c>
      <c r="D19" s="18" t="str">
        <f>$B$19&amp;C19</f>
        <v>河内晩柑経営規模(a)</v>
      </c>
      <c r="E19" s="23">
        <f>VLOOKUP($D19,品種別詳細表!$C$4:$H$86,2,1)</f>
        <v>20</v>
      </c>
      <c r="F19" s="23">
        <f>VLOOKUP($D19,品種別詳細表!$C$4:$H$86,3,1)</f>
        <v>20</v>
      </c>
      <c r="G19" s="23">
        <f>VLOOKUP($D19,品種別詳細表!$C$4:$H$86,4,1)</f>
        <v>20</v>
      </c>
      <c r="H19" s="23">
        <f>VLOOKUP($D19,品種別詳細表!$C$4:$H$86,5,1)</f>
        <v>15</v>
      </c>
      <c r="I19" s="23">
        <f>VLOOKUP($D19,品種別詳細表!$C$4:$H$86,6,1)</f>
        <v>15</v>
      </c>
    </row>
    <row r="20" spans="1:9" ht="14.25" customHeight="1" x14ac:dyDescent="0.2">
      <c r="A20" s="133"/>
      <c r="B20" s="147"/>
      <c r="C20" s="13" t="s">
        <v>28</v>
      </c>
      <c r="D20" s="18" t="str">
        <f>$B$19&amp;C20</f>
        <v>河内晩柑生産量(kg)</v>
      </c>
      <c r="E20" s="23">
        <f>VLOOKUP($D20,品種別詳細表!$C$4:$H$86,2,1)</f>
        <v>0</v>
      </c>
      <c r="F20" s="23">
        <f>VLOOKUP($D20,品種別詳細表!$C$4:$H$86,3,1)</f>
        <v>8000</v>
      </c>
      <c r="G20" s="23">
        <f>VLOOKUP($D20,品種別詳細表!$C$4:$H$86,4,1)</f>
        <v>9000</v>
      </c>
      <c r="H20" s="23">
        <f>VLOOKUP($D20,品種別詳細表!$C$4:$H$86,5,1)</f>
        <v>6000</v>
      </c>
      <c r="I20" s="23">
        <f>VLOOKUP($D20,品種別詳細表!$C$4:$H$86,6,1)</f>
        <v>7500</v>
      </c>
    </row>
    <row r="21" spans="1:9" ht="14.25" customHeight="1" x14ac:dyDescent="0.2">
      <c r="A21" s="133"/>
      <c r="B21" s="147"/>
      <c r="C21" s="13" t="s">
        <v>26</v>
      </c>
      <c r="D21" s="18" t="str">
        <f>$B$19&amp;C21</f>
        <v>河内晩柑売上高</v>
      </c>
      <c r="E21" s="23">
        <f>VLOOKUP($D21,品種別詳細表!$C$4:$H$86,2,1)</f>
        <v>0</v>
      </c>
      <c r="F21" s="31">
        <f>VLOOKUP($D21,品種別詳細表!$C$4:$H$86,3,1)</f>
        <v>800000</v>
      </c>
      <c r="G21" s="31">
        <f>VLOOKUP($D21,品種別詳細表!$C$4:$H$86,4,1)</f>
        <v>900000</v>
      </c>
      <c r="H21" s="31">
        <f>VLOOKUP($D21,品種別詳細表!$C$4:$H$86,5,1)</f>
        <v>660000</v>
      </c>
      <c r="I21" s="31">
        <f>VLOOKUP($D21,品種別詳細表!$C$4:$H$86,6,1)</f>
        <v>825000</v>
      </c>
    </row>
    <row r="22" spans="1:9" ht="14.25" customHeight="1" x14ac:dyDescent="0.2">
      <c r="A22" s="133"/>
      <c r="B22" s="146" t="str">
        <f>品種別詳細表!A34</f>
        <v>ゆず</v>
      </c>
      <c r="C22" s="13" t="s">
        <v>24</v>
      </c>
      <c r="D22" s="18" t="str">
        <f>$B$22&amp;C22</f>
        <v>ゆず経営規模(a)</v>
      </c>
      <c r="E22" s="23">
        <f>VLOOKUP($D22,品種別詳細表!$C$4:$H$86,2,1)</f>
        <v>10</v>
      </c>
      <c r="F22" s="32">
        <f>VLOOKUP($D22,品種別詳細表!$C$4:$H$86,3,1)</f>
        <v>10</v>
      </c>
      <c r="G22" s="32">
        <f>VLOOKUP($D22,品種別詳細表!$C$4:$H$86,4,1)</f>
        <v>10</v>
      </c>
      <c r="H22" s="32">
        <f>VLOOKUP($D22,品種別詳細表!$C$4:$H$86,5,1)</f>
        <v>10</v>
      </c>
      <c r="I22" s="32">
        <f>VLOOKUP($D22,品種別詳細表!$C$4:$H$86,6,1)</f>
        <v>10</v>
      </c>
    </row>
    <row r="23" spans="1:9" ht="14.25" customHeight="1" x14ac:dyDescent="0.2">
      <c r="A23" s="133"/>
      <c r="B23" s="147"/>
      <c r="C23" s="13" t="s">
        <v>28</v>
      </c>
      <c r="D23" s="18" t="str">
        <f>$B$22&amp;C23</f>
        <v>ゆず生産量(kg)</v>
      </c>
      <c r="E23" s="23">
        <f>VLOOKUP($D23,品種別詳細表!$C$4:$H$86,2,1)</f>
        <v>0</v>
      </c>
      <c r="F23" s="33">
        <f>VLOOKUP($D23,品種別詳細表!$C$4:$H$86,3,1)</f>
        <v>0</v>
      </c>
      <c r="G23" s="33">
        <f>VLOOKUP($D23,品種別詳細表!$C$4:$H$86,4,1)</f>
        <v>0</v>
      </c>
      <c r="H23" s="33">
        <f>VLOOKUP($D23,品種別詳細表!$C$4:$H$86,5,1)</f>
        <v>0</v>
      </c>
      <c r="I23" s="33">
        <f>VLOOKUP($D23,品種別詳細表!$C$4:$H$86,6,1)</f>
        <v>100</v>
      </c>
    </row>
    <row r="24" spans="1:9" ht="14.25" customHeight="1" x14ac:dyDescent="0.2">
      <c r="A24" s="133"/>
      <c r="B24" s="147"/>
      <c r="C24" s="13" t="s">
        <v>26</v>
      </c>
      <c r="D24" s="18" t="str">
        <f>$B$22&amp;C24</f>
        <v>ゆず売上高</v>
      </c>
      <c r="E24" s="23">
        <f>VLOOKUP($D24,品種別詳細表!$C$4:$H$86,2,1)</f>
        <v>0</v>
      </c>
      <c r="F24" s="34">
        <f>VLOOKUP($D24,品種別詳細表!$C$4:$H$86,3,1)</f>
        <v>0</v>
      </c>
      <c r="G24" s="34">
        <f>VLOOKUP($D24,品種別詳細表!$C$4:$H$86,4,1)</f>
        <v>0</v>
      </c>
      <c r="H24" s="34">
        <f>VLOOKUP($D24,品種別詳細表!$C$4:$H$86,5,1)</f>
        <v>0</v>
      </c>
      <c r="I24" s="34">
        <f>VLOOKUP($D24,品種別詳細表!$C$4:$H$86,6,1)</f>
        <v>9000</v>
      </c>
    </row>
    <row r="25" spans="1:9" ht="14.25" customHeight="1" x14ac:dyDescent="0.2">
      <c r="A25" s="133"/>
      <c r="B25" s="147">
        <v>7</v>
      </c>
      <c r="C25" s="13" t="s">
        <v>24</v>
      </c>
      <c r="D25" s="18" t="str">
        <f>$B$25&amp;C25</f>
        <v>7経営規模(a)</v>
      </c>
      <c r="E25" s="23">
        <f>VLOOKUP($D25,品種別詳細表!$C$4:$H$86,2,1)</f>
        <v>0</v>
      </c>
      <c r="F25" s="32">
        <f>VLOOKUP($D25,品種別詳細表!$C$4:$H$86,3,1)</f>
        <v>0</v>
      </c>
      <c r="G25" s="32">
        <f>VLOOKUP($D25,品種別詳細表!$C$4:$H$86,4,1)</f>
        <v>0</v>
      </c>
      <c r="H25" s="32">
        <f>VLOOKUP($D25,品種別詳細表!$C$4:$H$86,5,1)</f>
        <v>0</v>
      </c>
      <c r="I25" s="32">
        <f>VLOOKUP($D25,品種別詳細表!$C$4:$H$86,6,1)</f>
        <v>0</v>
      </c>
    </row>
    <row r="26" spans="1:9" ht="14.25" customHeight="1" x14ac:dyDescent="0.2">
      <c r="A26" s="133"/>
      <c r="B26" s="147"/>
      <c r="C26" s="13" t="s">
        <v>28</v>
      </c>
      <c r="D26" s="18" t="str">
        <f>$B$25&amp;C26</f>
        <v>7生産量(kg)</v>
      </c>
      <c r="E26" s="23">
        <f>VLOOKUP($D26,品種別詳細表!$C$4:$H$86,2,1)</f>
        <v>0</v>
      </c>
      <c r="F26" s="33">
        <f>VLOOKUP($D26,品種別詳細表!$C$4:$H$86,3,1)</f>
        <v>0</v>
      </c>
      <c r="G26" s="33">
        <f>VLOOKUP($D26,品種別詳細表!$C$4:$H$86,4,1)</f>
        <v>0</v>
      </c>
      <c r="H26" s="33">
        <f>VLOOKUP($D26,品種別詳細表!$C$4:$H$86,5,1)</f>
        <v>0</v>
      </c>
      <c r="I26" s="33">
        <f>VLOOKUP($D26,品種別詳細表!$C$4:$H$86,6,1)</f>
        <v>0</v>
      </c>
    </row>
    <row r="27" spans="1:9" ht="14.25" customHeight="1" x14ac:dyDescent="0.2">
      <c r="A27" s="133"/>
      <c r="B27" s="147"/>
      <c r="C27" s="13" t="s">
        <v>26</v>
      </c>
      <c r="D27" s="18" t="str">
        <f>$B$25&amp;C27</f>
        <v>7売上高</v>
      </c>
      <c r="E27" s="23">
        <f>VLOOKUP($D27,品種別詳細表!$C$4:$H$86,2,1)</f>
        <v>0</v>
      </c>
      <c r="F27" s="34">
        <f>VLOOKUP($D27,品種別詳細表!$C$4:$H$86,3,1)</f>
        <v>0</v>
      </c>
      <c r="G27" s="34">
        <f>VLOOKUP($D27,品種別詳細表!$C$4:$H$86,4,1)</f>
        <v>0</v>
      </c>
      <c r="H27" s="34">
        <f>VLOOKUP($D27,品種別詳細表!$C$4:$H$86,5,1)</f>
        <v>0</v>
      </c>
      <c r="I27" s="34">
        <f>VLOOKUP($D27,品種別詳細表!$C$4:$H$86,6,1)</f>
        <v>0</v>
      </c>
    </row>
    <row r="28" spans="1:9" ht="14.25" customHeight="1" x14ac:dyDescent="0.2">
      <c r="A28" s="133"/>
      <c r="B28" s="147">
        <v>8</v>
      </c>
      <c r="C28" s="13" t="s">
        <v>24</v>
      </c>
      <c r="D28" s="18" t="str">
        <f>$B$28&amp;C28</f>
        <v>8経営規模(a)</v>
      </c>
      <c r="E28" s="23">
        <f>VLOOKUP($D28,品種別詳細表!$C$4:$H$86,2,1)</f>
        <v>0</v>
      </c>
      <c r="F28" s="32">
        <f>VLOOKUP($D28,品種別詳細表!$C$4:$H$86,3,1)</f>
        <v>0</v>
      </c>
      <c r="G28" s="32">
        <f>VLOOKUP($D28,品種別詳細表!$C$4:$H$86,4,1)</f>
        <v>0</v>
      </c>
      <c r="H28" s="32">
        <f>VLOOKUP($D28,品種別詳細表!$C$4:$H$86,5,1)</f>
        <v>0</v>
      </c>
      <c r="I28" s="32">
        <f>VLOOKUP($D28,品種別詳細表!$C$4:$H$86,6,1)</f>
        <v>0</v>
      </c>
    </row>
    <row r="29" spans="1:9" ht="14.25" customHeight="1" x14ac:dyDescent="0.2">
      <c r="A29" s="133"/>
      <c r="B29" s="147"/>
      <c r="C29" s="13" t="s">
        <v>28</v>
      </c>
      <c r="D29" s="18" t="str">
        <f>$B$28&amp;C29</f>
        <v>8生産量(kg)</v>
      </c>
      <c r="E29" s="23">
        <f>VLOOKUP($D29,品種別詳細表!$C$4:$H$86,2,1)</f>
        <v>0</v>
      </c>
      <c r="F29" s="33">
        <f>VLOOKUP($D29,品種別詳細表!$C$4:$H$86,3,1)</f>
        <v>0</v>
      </c>
      <c r="G29" s="33">
        <f>VLOOKUP($D29,品種別詳細表!$C$4:$H$86,4,1)</f>
        <v>0</v>
      </c>
      <c r="H29" s="33">
        <f>VLOOKUP($D29,品種別詳細表!$C$4:$H$86,5,1)</f>
        <v>0</v>
      </c>
      <c r="I29" s="33">
        <f>VLOOKUP($D29,品種別詳細表!$C$4:$H$86,6,1)</f>
        <v>0</v>
      </c>
    </row>
    <row r="30" spans="1:9" ht="14.25" customHeight="1" x14ac:dyDescent="0.2">
      <c r="A30" s="133"/>
      <c r="B30" s="147"/>
      <c r="C30" s="13" t="s">
        <v>26</v>
      </c>
      <c r="D30" s="18" t="str">
        <f>$B$28&amp;C30</f>
        <v>8売上高</v>
      </c>
      <c r="E30" s="23">
        <f>VLOOKUP($D30,品種別詳細表!$C$4:$H$86,2,1)</f>
        <v>0</v>
      </c>
      <c r="F30" s="34">
        <f>VLOOKUP($D30,品種別詳細表!$C$4:$H$86,3,1)</f>
        <v>0</v>
      </c>
      <c r="G30" s="34">
        <f>VLOOKUP($D30,品種別詳細表!$C$4:$H$86,4,1)</f>
        <v>0</v>
      </c>
      <c r="H30" s="34">
        <f>VLOOKUP($D30,品種別詳細表!$C$4:$H$86,5,1)</f>
        <v>0</v>
      </c>
      <c r="I30" s="34">
        <f>VLOOKUP($D30,品種別詳細表!$C$4:$H$86,6,1)</f>
        <v>0</v>
      </c>
    </row>
    <row r="31" spans="1:9" ht="14.25" hidden="1" customHeight="1" x14ac:dyDescent="0.2">
      <c r="A31" s="133"/>
      <c r="B31" s="147">
        <v>9</v>
      </c>
      <c r="C31" s="13" t="s">
        <v>24</v>
      </c>
      <c r="D31" s="18" t="str">
        <f>$B$31&amp;C31</f>
        <v>9経営規模(a)</v>
      </c>
      <c r="E31" s="23">
        <f>VLOOKUP($D31,品種別詳細表!$C$4:$H$86,2,1)</f>
        <v>0</v>
      </c>
      <c r="F31" s="32">
        <f>VLOOKUP($D31,品種別詳細表!$C$4:$H$86,3,1)</f>
        <v>0</v>
      </c>
      <c r="G31" s="32">
        <f>VLOOKUP($D31,品種別詳細表!$C$4:$H$86,4,1)</f>
        <v>0</v>
      </c>
      <c r="H31" s="32">
        <f>VLOOKUP($D31,品種別詳細表!$C$4:$H$86,5,1)</f>
        <v>0</v>
      </c>
      <c r="I31" s="32">
        <f>VLOOKUP($D31,品種別詳細表!$C$4:$H$86,6,1)</f>
        <v>0</v>
      </c>
    </row>
    <row r="32" spans="1:9" ht="14.25" hidden="1" customHeight="1" x14ac:dyDescent="0.2">
      <c r="A32" s="133"/>
      <c r="B32" s="147"/>
      <c r="C32" s="13" t="s">
        <v>28</v>
      </c>
      <c r="D32" s="18" t="str">
        <f>$B$31&amp;C32</f>
        <v>9生産量(kg)</v>
      </c>
      <c r="E32" s="23">
        <f>VLOOKUP($D32,品種別詳細表!$C$4:$H$86,2,1)</f>
        <v>0</v>
      </c>
      <c r="F32" s="33">
        <f>VLOOKUP($D32,品種別詳細表!$C$4:$H$86,3,1)</f>
        <v>0</v>
      </c>
      <c r="G32" s="33">
        <f>VLOOKUP($D32,品種別詳細表!$C$4:$H$86,4,1)</f>
        <v>0</v>
      </c>
      <c r="H32" s="33">
        <f>VLOOKUP($D32,品種別詳細表!$C$4:$H$86,5,1)</f>
        <v>0</v>
      </c>
      <c r="I32" s="33">
        <f>VLOOKUP($D32,品種別詳細表!$C$4:$H$86,6,1)</f>
        <v>0</v>
      </c>
    </row>
    <row r="33" spans="1:9" ht="14.25" hidden="1" customHeight="1" x14ac:dyDescent="0.2">
      <c r="A33" s="133"/>
      <c r="B33" s="147"/>
      <c r="C33" s="13" t="s">
        <v>26</v>
      </c>
      <c r="D33" s="18" t="str">
        <f>$B$31&amp;C33</f>
        <v>9売上高</v>
      </c>
      <c r="E33" s="23">
        <f>VLOOKUP($D33,品種別詳細表!$C$4:$H$86,2,1)</f>
        <v>0</v>
      </c>
      <c r="F33" s="34">
        <f>VLOOKUP($D33,品種別詳細表!$C$4:$H$86,3,1)</f>
        <v>0</v>
      </c>
      <c r="G33" s="34">
        <f>VLOOKUP($D33,品種別詳細表!$C$4:$H$86,4,1)</f>
        <v>0</v>
      </c>
      <c r="H33" s="34">
        <f>VLOOKUP($D33,品種別詳細表!$C$4:$H$86,5,1)</f>
        <v>0</v>
      </c>
      <c r="I33" s="34">
        <f>VLOOKUP($D33,品種別詳細表!$C$4:$H$86,6,1)</f>
        <v>0</v>
      </c>
    </row>
    <row r="34" spans="1:9" ht="14.25" hidden="1" customHeight="1" x14ac:dyDescent="0.2">
      <c r="A34" s="133"/>
      <c r="B34" s="147">
        <v>10</v>
      </c>
      <c r="C34" s="13" t="s">
        <v>24</v>
      </c>
      <c r="D34" s="18" t="str">
        <f>$B$34&amp;C34</f>
        <v>10経営規模(a)</v>
      </c>
      <c r="E34" s="23">
        <f>VLOOKUP($D34,品種別詳細表!$C$4:$H$86,2,1)</f>
        <v>0</v>
      </c>
      <c r="F34" s="32">
        <f>VLOOKUP($D34,品種別詳細表!$C$4:$H$86,3,1)</f>
        <v>0</v>
      </c>
      <c r="G34" s="32">
        <f>VLOOKUP($D34,品種別詳細表!$C$4:$H$86,4,1)</f>
        <v>0</v>
      </c>
      <c r="H34" s="32">
        <f>VLOOKUP($D34,品種別詳細表!$C$4:$H$86,5,1)</f>
        <v>0</v>
      </c>
      <c r="I34" s="32">
        <f>VLOOKUP($D34,品種別詳細表!$C$4:$H$86,6,1)</f>
        <v>0</v>
      </c>
    </row>
    <row r="35" spans="1:9" ht="14.25" hidden="1" customHeight="1" x14ac:dyDescent="0.2">
      <c r="A35" s="133"/>
      <c r="B35" s="147"/>
      <c r="C35" s="13" t="s">
        <v>28</v>
      </c>
      <c r="D35" s="18" t="str">
        <f>$B$34&amp;C35</f>
        <v>10生産量(kg)</v>
      </c>
      <c r="E35" s="23">
        <f>VLOOKUP($D35,品種別詳細表!$C$4:$H$86,2,1)</f>
        <v>0</v>
      </c>
      <c r="F35" s="33">
        <f>VLOOKUP($D35,品種別詳細表!$C$4:$H$86,3,1)</f>
        <v>0</v>
      </c>
      <c r="G35" s="33">
        <f>VLOOKUP($D35,品種別詳細表!$C$4:$H$86,4,1)</f>
        <v>0</v>
      </c>
      <c r="H35" s="33">
        <f>VLOOKUP($D35,品種別詳細表!$C$4:$H$86,5,1)</f>
        <v>0</v>
      </c>
      <c r="I35" s="33">
        <f>VLOOKUP($D35,品種別詳細表!$C$4:$H$86,6,1)</f>
        <v>0</v>
      </c>
    </row>
    <row r="36" spans="1:9" ht="14.25" hidden="1" customHeight="1" x14ac:dyDescent="0.2">
      <c r="A36" s="133"/>
      <c r="B36" s="147"/>
      <c r="C36" s="13" t="s">
        <v>26</v>
      </c>
      <c r="D36" s="18" t="str">
        <f>$B$34&amp;C36</f>
        <v>10売上高</v>
      </c>
      <c r="E36" s="23">
        <f>VLOOKUP($D36,品種別詳細表!$C$4:$H$86,2,1)</f>
        <v>0</v>
      </c>
      <c r="F36" s="34">
        <f>VLOOKUP($D36,品種別詳細表!$C$4:$H$86,3,1)</f>
        <v>0</v>
      </c>
      <c r="G36" s="34">
        <f>VLOOKUP($D36,品種別詳細表!$C$4:$H$86,4,1)</f>
        <v>0</v>
      </c>
      <c r="H36" s="34">
        <f>VLOOKUP($D36,品種別詳細表!$C$4:$H$86,5,1)</f>
        <v>0</v>
      </c>
      <c r="I36" s="34">
        <f>VLOOKUP($D36,品種別詳細表!$C$4:$H$86,6,1)</f>
        <v>0</v>
      </c>
    </row>
    <row r="37" spans="1:9" ht="14.25" hidden="1" customHeight="1" x14ac:dyDescent="0.2">
      <c r="A37" s="133"/>
      <c r="B37" s="147">
        <v>11</v>
      </c>
      <c r="C37" s="13" t="s">
        <v>24</v>
      </c>
      <c r="D37" s="18" t="str">
        <f>$B$37&amp;C37</f>
        <v>11経営規模(a)</v>
      </c>
      <c r="E37" s="23">
        <f>VLOOKUP($D37,品種別詳細表!$C$4:$H$86,2,1)</f>
        <v>0</v>
      </c>
      <c r="F37" s="32">
        <f>VLOOKUP($D37,品種別詳細表!$C$4:$H$86,3,1)</f>
        <v>0</v>
      </c>
      <c r="G37" s="32">
        <f>VLOOKUP($D37,品種別詳細表!$C$4:$H$86,4,1)</f>
        <v>0</v>
      </c>
      <c r="H37" s="32">
        <f>VLOOKUP($D37,品種別詳細表!$C$4:$H$86,5,1)</f>
        <v>0</v>
      </c>
      <c r="I37" s="32">
        <f>VLOOKUP($D37,品種別詳細表!$C$4:$H$86,6,1)</f>
        <v>0</v>
      </c>
    </row>
    <row r="38" spans="1:9" ht="14.25" hidden="1" customHeight="1" x14ac:dyDescent="0.2">
      <c r="A38" s="133"/>
      <c r="B38" s="147"/>
      <c r="C38" s="13" t="s">
        <v>28</v>
      </c>
      <c r="D38" s="18" t="str">
        <f>$B$37&amp;C38</f>
        <v>11生産量(kg)</v>
      </c>
      <c r="E38" s="23">
        <f>VLOOKUP($D38,品種別詳細表!$C$4:$H$86,2,1)</f>
        <v>0</v>
      </c>
      <c r="F38" s="33">
        <f>VLOOKUP($D38,品種別詳細表!$C$4:$H$86,3,1)</f>
        <v>0</v>
      </c>
      <c r="G38" s="33">
        <f>VLOOKUP($D38,品種別詳細表!$C$4:$H$86,4,1)</f>
        <v>0</v>
      </c>
      <c r="H38" s="33">
        <f>VLOOKUP($D38,品種別詳細表!$C$4:$H$86,5,1)</f>
        <v>0</v>
      </c>
      <c r="I38" s="33">
        <f>VLOOKUP($D38,品種別詳細表!$C$4:$H$86,6,1)</f>
        <v>0</v>
      </c>
    </row>
    <row r="39" spans="1:9" ht="14.25" hidden="1" customHeight="1" x14ac:dyDescent="0.2">
      <c r="A39" s="133"/>
      <c r="B39" s="147"/>
      <c r="C39" s="13" t="s">
        <v>26</v>
      </c>
      <c r="D39" s="18" t="str">
        <f>$B$37&amp;C39</f>
        <v>11売上高</v>
      </c>
      <c r="E39" s="23">
        <f>VLOOKUP($D39,品種別詳細表!$C$4:$H$86,2,1)</f>
        <v>0</v>
      </c>
      <c r="F39" s="34">
        <f>VLOOKUP($D39,品種別詳細表!$C$4:$H$86,3,1)</f>
        <v>0</v>
      </c>
      <c r="G39" s="34">
        <f>VLOOKUP($D39,品種別詳細表!$C$4:$H$86,4,1)</f>
        <v>0</v>
      </c>
      <c r="H39" s="34">
        <f>VLOOKUP($D39,品種別詳細表!$C$4:$H$86,5,1)</f>
        <v>0</v>
      </c>
      <c r="I39" s="34">
        <f>VLOOKUP($D39,品種別詳細表!$C$4:$H$86,6,1)</f>
        <v>0</v>
      </c>
    </row>
    <row r="40" spans="1:9" ht="14.25" hidden="1" customHeight="1" x14ac:dyDescent="0.2">
      <c r="A40" s="133"/>
      <c r="B40" s="147">
        <v>12</v>
      </c>
      <c r="C40" s="13" t="s">
        <v>24</v>
      </c>
      <c r="D40" s="18" t="str">
        <f>$B$40&amp;C40</f>
        <v>12経営規模(a)</v>
      </c>
      <c r="E40" s="23">
        <f>VLOOKUP($D40,品種別詳細表!$C$4:$H$86,2,1)</f>
        <v>0</v>
      </c>
      <c r="F40" s="32">
        <f>VLOOKUP($D40,品種別詳細表!$C$4:$H$86,3,1)</f>
        <v>0</v>
      </c>
      <c r="G40" s="32">
        <f>VLOOKUP($D40,品種別詳細表!$C$4:$H$86,4,1)</f>
        <v>0</v>
      </c>
      <c r="H40" s="32">
        <f>VLOOKUP($D40,品種別詳細表!$C$4:$H$86,5,1)</f>
        <v>0</v>
      </c>
      <c r="I40" s="32">
        <f>VLOOKUP($D40,品種別詳細表!$C$4:$H$86,6,1)</f>
        <v>0</v>
      </c>
    </row>
    <row r="41" spans="1:9" ht="14.25" hidden="1" customHeight="1" x14ac:dyDescent="0.2">
      <c r="A41" s="133"/>
      <c r="B41" s="147"/>
      <c r="C41" s="13" t="s">
        <v>28</v>
      </c>
      <c r="D41" s="18" t="str">
        <f>$B$40&amp;C41</f>
        <v>12生産量(kg)</v>
      </c>
      <c r="E41" s="23">
        <f>VLOOKUP($D41,品種別詳細表!$C$4:$H$86,2,1)</f>
        <v>0</v>
      </c>
      <c r="F41" s="33">
        <f>VLOOKUP($D41,品種別詳細表!$C$4:$H$86,3,1)</f>
        <v>0</v>
      </c>
      <c r="G41" s="33">
        <f>VLOOKUP($D41,品種別詳細表!$C$4:$H$86,4,1)</f>
        <v>0</v>
      </c>
      <c r="H41" s="33">
        <f>VLOOKUP($D41,品種別詳細表!$C$4:$H$86,5,1)</f>
        <v>0</v>
      </c>
      <c r="I41" s="33">
        <f>VLOOKUP($D41,品種別詳細表!$C$4:$H$86,6,1)</f>
        <v>0</v>
      </c>
    </row>
    <row r="42" spans="1:9" ht="14.25" hidden="1" customHeight="1" x14ac:dyDescent="0.2">
      <c r="A42" s="133"/>
      <c r="B42" s="147"/>
      <c r="C42" s="13" t="s">
        <v>26</v>
      </c>
      <c r="D42" s="18" t="str">
        <f>$B$40&amp;C42</f>
        <v>12売上高</v>
      </c>
      <c r="E42" s="23">
        <f>VLOOKUP($D42,品種別詳細表!$C$4:$H$86,2,1)</f>
        <v>0</v>
      </c>
      <c r="F42" s="34">
        <f>VLOOKUP($D42,品種別詳細表!$C$4:$H$86,3,1)</f>
        <v>0</v>
      </c>
      <c r="G42" s="34">
        <f>VLOOKUP($D42,品種別詳細表!$C$4:$H$86,4,1)</f>
        <v>0</v>
      </c>
      <c r="H42" s="34">
        <f>VLOOKUP($D42,品種別詳細表!$C$4:$H$86,5,1)</f>
        <v>0</v>
      </c>
      <c r="I42" s="34">
        <f>VLOOKUP($D42,品種別詳細表!$C$4:$H$86,6,1)</f>
        <v>0</v>
      </c>
    </row>
    <row r="43" spans="1:9" ht="14.25" hidden="1" customHeight="1" x14ac:dyDescent="0.2">
      <c r="A43" s="133"/>
      <c r="B43" s="147">
        <v>13</v>
      </c>
      <c r="C43" s="13" t="s">
        <v>24</v>
      </c>
      <c r="D43" s="18" t="str">
        <f>$B$43&amp;C43</f>
        <v>13経営規模(a)</v>
      </c>
      <c r="E43" s="23">
        <f>VLOOKUP($D43,品種別詳細表!$C$4:$H$86,2,1)</f>
        <v>0</v>
      </c>
      <c r="F43" s="32">
        <f>VLOOKUP($D43,品種別詳細表!$C$4:$H$86,3,1)</f>
        <v>0</v>
      </c>
      <c r="G43" s="32">
        <f>VLOOKUP($D43,品種別詳細表!$C$4:$H$86,4,1)</f>
        <v>0</v>
      </c>
      <c r="H43" s="32">
        <f>VLOOKUP($D43,品種別詳細表!$C$4:$H$86,5,1)</f>
        <v>0</v>
      </c>
      <c r="I43" s="32">
        <f>VLOOKUP($D43,品種別詳細表!$C$4:$H$86,6,1)</f>
        <v>0</v>
      </c>
    </row>
    <row r="44" spans="1:9" ht="14.25" hidden="1" customHeight="1" x14ac:dyDescent="0.2">
      <c r="A44" s="133"/>
      <c r="B44" s="147"/>
      <c r="C44" s="13" t="s">
        <v>28</v>
      </c>
      <c r="D44" s="18" t="str">
        <f>$B$43&amp;C44</f>
        <v>13生産量(kg)</v>
      </c>
      <c r="E44" s="23">
        <f>VLOOKUP($D44,品種別詳細表!$C$4:$H$86,2,1)</f>
        <v>0</v>
      </c>
      <c r="F44" s="33">
        <f>VLOOKUP($D44,品種別詳細表!$C$4:$H$86,3,1)</f>
        <v>0</v>
      </c>
      <c r="G44" s="33">
        <f>VLOOKUP($D44,品種別詳細表!$C$4:$H$86,4,1)</f>
        <v>0</v>
      </c>
      <c r="H44" s="33">
        <f>VLOOKUP($D44,品種別詳細表!$C$4:$H$86,5,1)</f>
        <v>0</v>
      </c>
      <c r="I44" s="33">
        <f>VLOOKUP($D44,品種別詳細表!$C$4:$H$86,6,1)</f>
        <v>0</v>
      </c>
    </row>
    <row r="45" spans="1:9" ht="14.25" hidden="1" customHeight="1" x14ac:dyDescent="0.2">
      <c r="A45" s="133"/>
      <c r="B45" s="147"/>
      <c r="C45" s="13" t="s">
        <v>26</v>
      </c>
      <c r="D45" s="18" t="str">
        <f>$B$43&amp;C45</f>
        <v>13売上高</v>
      </c>
      <c r="E45" s="23">
        <f>VLOOKUP($D45,品種別詳細表!$C$4:$H$86,2,1)</f>
        <v>0</v>
      </c>
      <c r="F45" s="34">
        <f>VLOOKUP($D45,品種別詳細表!$C$4:$H$86,3,1)</f>
        <v>0</v>
      </c>
      <c r="G45" s="34">
        <f>VLOOKUP($D45,品種別詳細表!$C$4:$H$86,4,1)</f>
        <v>0</v>
      </c>
      <c r="H45" s="34">
        <f>VLOOKUP($D45,品種別詳細表!$C$4:$H$86,5,1)</f>
        <v>0</v>
      </c>
      <c r="I45" s="34">
        <f>VLOOKUP($D45,品種別詳細表!$C$4:$H$86,6,1)</f>
        <v>0</v>
      </c>
    </row>
    <row r="46" spans="1:9" ht="14.25" hidden="1" customHeight="1" x14ac:dyDescent="0.2">
      <c r="A46" s="133"/>
      <c r="B46" s="147">
        <v>14</v>
      </c>
      <c r="C46" s="13" t="s">
        <v>24</v>
      </c>
      <c r="D46" s="18" t="str">
        <f>$B$46&amp;C46</f>
        <v>14経営規模(a)</v>
      </c>
      <c r="E46" s="23">
        <f>VLOOKUP($D46,品種別詳細表!$C$4:$H$86,2,1)</f>
        <v>0</v>
      </c>
      <c r="F46" s="32">
        <f>VLOOKUP($D46,品種別詳細表!$C$4:$H$86,3,1)</f>
        <v>0</v>
      </c>
      <c r="G46" s="32">
        <f>VLOOKUP($D46,品種別詳細表!$C$4:$H$86,4,1)</f>
        <v>0</v>
      </c>
      <c r="H46" s="32">
        <f>VLOOKUP($D46,品種別詳細表!$C$4:$H$86,5,1)</f>
        <v>0</v>
      </c>
      <c r="I46" s="32">
        <f>VLOOKUP($D46,品種別詳細表!$C$4:$H$86,6,1)</f>
        <v>0</v>
      </c>
    </row>
    <row r="47" spans="1:9" ht="14.25" hidden="1" customHeight="1" x14ac:dyDescent="0.2">
      <c r="A47" s="133"/>
      <c r="B47" s="147"/>
      <c r="C47" s="13" t="s">
        <v>28</v>
      </c>
      <c r="D47" s="18" t="str">
        <f>$B$46&amp;C47</f>
        <v>14生産量(kg)</v>
      </c>
      <c r="E47" s="23">
        <f>VLOOKUP($D47,品種別詳細表!$C$4:$H$86,2,1)</f>
        <v>0</v>
      </c>
      <c r="F47" s="33">
        <f>VLOOKUP($D47,品種別詳細表!$C$4:$H$86,3,1)</f>
        <v>0</v>
      </c>
      <c r="G47" s="33">
        <f>VLOOKUP($D47,品種別詳細表!$C$4:$H$86,4,1)</f>
        <v>0</v>
      </c>
      <c r="H47" s="33">
        <f>VLOOKUP($D47,品種別詳細表!$C$4:$H$86,5,1)</f>
        <v>0</v>
      </c>
      <c r="I47" s="33">
        <f>VLOOKUP($D47,品種別詳細表!$C$4:$H$86,6,1)</f>
        <v>0</v>
      </c>
    </row>
    <row r="48" spans="1:9" ht="14.25" hidden="1" customHeight="1" x14ac:dyDescent="0.2">
      <c r="A48" s="133"/>
      <c r="B48" s="147"/>
      <c r="C48" s="13" t="s">
        <v>26</v>
      </c>
      <c r="D48" s="18" t="str">
        <f>$B$46&amp;C48</f>
        <v>14売上高</v>
      </c>
      <c r="E48" s="23">
        <f>VLOOKUP($D48,品種別詳細表!$C$4:$H$86,2,1)</f>
        <v>0</v>
      </c>
      <c r="F48" s="34">
        <f>VLOOKUP($D48,品種別詳細表!$C$4:$H$86,3,1)</f>
        <v>0</v>
      </c>
      <c r="G48" s="34">
        <f>VLOOKUP($D48,品種別詳細表!$C$4:$H$86,4,1)</f>
        <v>0</v>
      </c>
      <c r="H48" s="34">
        <f>VLOOKUP($D48,品種別詳細表!$C$4:$H$86,5,1)</f>
        <v>0</v>
      </c>
      <c r="I48" s="34">
        <f>VLOOKUP($D48,品種別詳細表!$C$4:$H$86,6,1)</f>
        <v>0</v>
      </c>
    </row>
    <row r="49" spans="1:16" ht="14.25" customHeight="1" x14ac:dyDescent="0.2">
      <c r="A49" s="133"/>
      <c r="B49" s="7" t="s">
        <v>29</v>
      </c>
      <c r="C49" s="10" t="s">
        <v>26</v>
      </c>
      <c r="D49" s="10"/>
      <c r="E49" s="23"/>
      <c r="F49" s="23"/>
      <c r="G49" s="23"/>
      <c r="H49" s="23"/>
      <c r="I49" s="23"/>
    </row>
    <row r="50" spans="1:16" ht="30" customHeight="1" x14ac:dyDescent="0.2">
      <c r="A50" s="157"/>
      <c r="B50" s="8" t="s">
        <v>30</v>
      </c>
      <c r="C50" s="14" t="s">
        <v>26</v>
      </c>
      <c r="D50" s="14"/>
      <c r="E50" s="24"/>
      <c r="F50" s="35"/>
      <c r="G50" s="35"/>
      <c r="H50" s="35"/>
      <c r="I50" s="35"/>
    </row>
    <row r="51" spans="1:16" ht="19.5" customHeight="1" x14ac:dyDescent="0.2">
      <c r="A51" s="153" t="s">
        <v>128</v>
      </c>
      <c r="B51" s="154"/>
      <c r="C51" s="154"/>
      <c r="D51" s="19"/>
      <c r="E51" s="25">
        <v>0</v>
      </c>
      <c r="F51" s="25">
        <v>0</v>
      </c>
      <c r="G51" s="25">
        <v>0</v>
      </c>
      <c r="H51" s="38">
        <v>0</v>
      </c>
      <c r="I51" s="39">
        <v>0</v>
      </c>
    </row>
    <row r="52" spans="1:16" ht="19.5" customHeight="1" x14ac:dyDescent="0.2">
      <c r="A52" s="155" t="s">
        <v>32</v>
      </c>
      <c r="B52" s="154"/>
      <c r="C52" s="154"/>
      <c r="D52" s="9"/>
      <c r="E52" s="26">
        <f>SUMIFS(E$7:E$50,$C$7:$C$50,"売上高")</f>
        <v>2130000</v>
      </c>
      <c r="F52" s="26">
        <f>SUMIFS(F$7:F$50,$C$7:$C$50,"売上高")</f>
        <v>3625000</v>
      </c>
      <c r="G52" s="26">
        <f>SUMIFS(G$7:G$50,$C$7:$C$50,"売上高")</f>
        <v>4135000</v>
      </c>
      <c r="H52" s="26">
        <f>SUMIFS(H$7:H$50,$C$7:$C$50,"売上高")</f>
        <v>5260000</v>
      </c>
      <c r="I52" s="26">
        <f>SUMIFS(I$7:I$50,$C$7:$C$50,"売上高")</f>
        <v>7214000</v>
      </c>
    </row>
    <row r="53" spans="1:16" ht="5.25" customHeight="1" x14ac:dyDescent="0.2">
      <c r="A53" s="5"/>
      <c r="B53" s="5"/>
      <c r="C53" s="5"/>
      <c r="D53" s="5"/>
      <c r="E53" s="27"/>
      <c r="F53" s="27"/>
      <c r="G53" s="27"/>
      <c r="H53" s="27"/>
      <c r="I53" s="27"/>
    </row>
    <row r="54" spans="1:16" ht="13.5" customHeight="1" x14ac:dyDescent="0.2">
      <c r="A54" s="156"/>
      <c r="B54" s="156"/>
      <c r="C54" s="156"/>
      <c r="D54" s="17"/>
      <c r="E54" s="145" t="s">
        <v>6</v>
      </c>
      <c r="F54" s="145"/>
      <c r="G54" s="145"/>
      <c r="H54" s="145"/>
      <c r="I54" s="145"/>
    </row>
    <row r="55" spans="1:16" ht="19.5" customHeight="1" x14ac:dyDescent="0.2">
      <c r="A55" s="156"/>
      <c r="B55" s="156"/>
      <c r="C55" s="156"/>
      <c r="D55" s="17"/>
      <c r="E55" s="21" t="s">
        <v>7</v>
      </c>
      <c r="F55" s="21" t="s">
        <v>10</v>
      </c>
      <c r="G55" s="21" t="s">
        <v>9</v>
      </c>
      <c r="H55" s="21" t="s">
        <v>15</v>
      </c>
      <c r="I55" s="21" t="s">
        <v>3</v>
      </c>
    </row>
    <row r="56" spans="1:16" ht="30" customHeight="1" x14ac:dyDescent="0.2">
      <c r="A56" s="156"/>
      <c r="B56" s="156"/>
      <c r="C56" s="156"/>
      <c r="D56" s="17"/>
      <c r="E56" s="22" t="s">
        <v>16</v>
      </c>
      <c r="F56" s="22" t="s">
        <v>0</v>
      </c>
      <c r="G56" s="22" t="s">
        <v>18</v>
      </c>
      <c r="H56" s="22" t="s">
        <v>22</v>
      </c>
      <c r="I56" s="22" t="s">
        <v>23</v>
      </c>
      <c r="K56" s="41" t="s">
        <v>98</v>
      </c>
      <c r="L56" s="42" t="str">
        <f>減価償却試算!B3</f>
        <v>R3</v>
      </c>
      <c r="M56" s="42" t="str">
        <f>減価償却試算!C3</f>
        <v>R4</v>
      </c>
      <c r="N56" s="42" t="str">
        <f>減価償却試算!D3</f>
        <v>R5</v>
      </c>
      <c r="O56" s="42" t="str">
        <f>減価償却試算!E3</f>
        <v>R6</v>
      </c>
      <c r="P56" s="42" t="str">
        <f>減価償却試算!F3</f>
        <v>R7</v>
      </c>
    </row>
    <row r="57" spans="1:16" ht="19.5" customHeight="1" x14ac:dyDescent="0.2">
      <c r="A57" s="132" t="s">
        <v>27</v>
      </c>
      <c r="B57" s="150" t="s">
        <v>19</v>
      </c>
      <c r="C57" s="150"/>
      <c r="D57" s="10"/>
      <c r="E57" s="28">
        <v>0</v>
      </c>
      <c r="F57" s="28">
        <v>0</v>
      </c>
      <c r="G57" s="28">
        <v>50000</v>
      </c>
      <c r="H57" s="28">
        <v>0</v>
      </c>
      <c r="I57" s="28">
        <v>0</v>
      </c>
      <c r="K57" s="42" t="str">
        <f>減価償却試算!A4</f>
        <v>使用月数</v>
      </c>
      <c r="L57" s="48" t="str">
        <f>減価償却試算!B4</f>
        <v>8/12</v>
      </c>
      <c r="M57" s="48" t="str">
        <f>減価償却試算!C4</f>
        <v>12/12</v>
      </c>
      <c r="N57" s="48" t="str">
        <f>減価償却試算!D4</f>
        <v>12/12</v>
      </c>
      <c r="O57" s="48" t="str">
        <f>減価償却試算!E4</f>
        <v>12/12</v>
      </c>
      <c r="P57" s="48" t="str">
        <f>減価償却試算!F4</f>
        <v>12/12</v>
      </c>
    </row>
    <row r="58" spans="1:16" ht="19.5" customHeight="1" x14ac:dyDescent="0.2">
      <c r="A58" s="133"/>
      <c r="B58" s="150" t="s">
        <v>8</v>
      </c>
      <c r="C58" s="150"/>
      <c r="D58" s="10"/>
      <c r="E58" s="28">
        <v>150000</v>
      </c>
      <c r="F58" s="28">
        <v>400000</v>
      </c>
      <c r="G58" s="28">
        <v>500000</v>
      </c>
      <c r="H58" s="28">
        <v>1000000</v>
      </c>
      <c r="I58" s="28">
        <v>1000000</v>
      </c>
      <c r="K58" s="43" t="str">
        <f>減価償却試算!A5</f>
        <v>雨除ﾊｳｽ
200万円/15a（4年目）</v>
      </c>
      <c r="L58" s="49">
        <f>減価償却試算!B5</f>
        <v>136533</v>
      </c>
      <c r="M58" s="49">
        <f>減価償却試算!C5</f>
        <v>163840</v>
      </c>
      <c r="N58" s="49">
        <f>減価償却試算!D5</f>
        <v>131072</v>
      </c>
      <c r="O58" s="49">
        <f>減価償却試算!E5</f>
        <v>131072</v>
      </c>
      <c r="P58" s="49">
        <f>減価償却試算!F5</f>
        <v>131072</v>
      </c>
    </row>
    <row r="59" spans="1:16" ht="19.5" customHeight="1" x14ac:dyDescent="0.2">
      <c r="A59" s="133"/>
      <c r="B59" s="150" t="s">
        <v>31</v>
      </c>
      <c r="C59" s="150"/>
      <c r="D59" s="10"/>
      <c r="E59" s="28">
        <v>40000</v>
      </c>
      <c r="F59" s="28">
        <v>80000</v>
      </c>
      <c r="G59" s="28">
        <v>85000</v>
      </c>
      <c r="H59" s="28">
        <v>100000</v>
      </c>
      <c r="I59" s="28">
        <v>100000</v>
      </c>
      <c r="K59" s="44" t="str">
        <f>減価償却試算!A6</f>
        <v>モノレール(動力車2・台車4)
150万円/15a（3年目）</v>
      </c>
      <c r="L59" s="49">
        <f>減価償却試算!B6</f>
        <v>145801</v>
      </c>
      <c r="M59" s="49">
        <f>減価償却試算!C6</f>
        <v>156154</v>
      </c>
      <c r="N59" s="49">
        <f>減価償却試算!D6</f>
        <v>130206</v>
      </c>
      <c r="O59" s="49">
        <f>減価償却試算!E6</f>
        <v>130206</v>
      </c>
      <c r="P59" s="49">
        <f>減価償却試算!F6</f>
        <v>129425</v>
      </c>
    </row>
    <row r="60" spans="1:16" ht="19.5" customHeight="1" x14ac:dyDescent="0.2">
      <c r="A60" s="133"/>
      <c r="B60" s="150" t="s">
        <v>14</v>
      </c>
      <c r="C60" s="150"/>
      <c r="D60" s="10"/>
      <c r="E60" s="28">
        <v>400000</v>
      </c>
      <c r="F60" s="28">
        <v>800000</v>
      </c>
      <c r="G60" s="28">
        <v>900000</v>
      </c>
      <c r="H60" s="28">
        <v>1000000</v>
      </c>
      <c r="I60" s="28">
        <v>1000000</v>
      </c>
      <c r="K60" s="45">
        <f>減価償却試算!A7</f>
        <v>0</v>
      </c>
      <c r="L60" s="49">
        <f>減価償却試算!B7</f>
        <v>0</v>
      </c>
      <c r="M60" s="49">
        <f>減価償却試算!C7</f>
        <v>0</v>
      </c>
      <c r="N60" s="49">
        <f>減価償却試算!D7</f>
        <v>0</v>
      </c>
      <c r="O60" s="49">
        <f>減価償却試算!E7</f>
        <v>0</v>
      </c>
      <c r="P60" s="49">
        <f>減価償却試算!F7</f>
        <v>0</v>
      </c>
    </row>
    <row r="61" spans="1:16" ht="19.5" customHeight="1" x14ac:dyDescent="0.2">
      <c r="A61" s="133"/>
      <c r="B61" s="150" t="s">
        <v>33</v>
      </c>
      <c r="C61" s="150"/>
      <c r="D61" s="10"/>
      <c r="E61" s="28">
        <v>50000</v>
      </c>
      <c r="F61" s="28">
        <v>50000</v>
      </c>
      <c r="G61" s="28">
        <v>50000</v>
      </c>
      <c r="H61" s="28">
        <v>50000</v>
      </c>
      <c r="I61" s="28">
        <v>50000</v>
      </c>
      <c r="K61" s="46">
        <f>減価償却試算!A8</f>
        <v>0</v>
      </c>
      <c r="L61" s="50">
        <f>減価償却試算!B8</f>
        <v>0</v>
      </c>
      <c r="M61" s="50">
        <f>減価償却試算!C8</f>
        <v>0</v>
      </c>
      <c r="N61" s="50">
        <f>減価償却試算!D8</f>
        <v>0</v>
      </c>
      <c r="O61" s="50">
        <f>減価償却試算!E8</f>
        <v>0</v>
      </c>
      <c r="P61" s="50">
        <f>減価償却試算!F8</f>
        <v>0</v>
      </c>
    </row>
    <row r="62" spans="1:16" ht="19.5" customHeight="1" x14ac:dyDescent="0.2">
      <c r="A62" s="133"/>
      <c r="B62" s="150" t="s">
        <v>12</v>
      </c>
      <c r="C62" s="150"/>
      <c r="D62" s="10"/>
      <c r="E62" s="28">
        <v>100000</v>
      </c>
      <c r="F62" s="28">
        <v>150000</v>
      </c>
      <c r="G62" s="28">
        <v>200000</v>
      </c>
      <c r="H62" s="28">
        <v>200000</v>
      </c>
      <c r="I62" s="28">
        <v>200000</v>
      </c>
      <c r="K62" s="47" t="str">
        <f>減価償却試算!A9</f>
        <v>計</v>
      </c>
      <c r="L62" s="47">
        <f>減価償却試算!B9</f>
        <v>282334</v>
      </c>
      <c r="M62" s="47">
        <f>減価償却試算!C9</f>
        <v>319994</v>
      </c>
      <c r="N62" s="47">
        <f>減価償却試算!D9</f>
        <v>261278</v>
      </c>
      <c r="O62" s="47">
        <f>減価償却試算!E9</f>
        <v>261278</v>
      </c>
      <c r="P62" s="47">
        <f>減価償却試算!F9</f>
        <v>260497</v>
      </c>
    </row>
    <row r="63" spans="1:16" ht="19.5" customHeight="1" x14ac:dyDescent="0.2">
      <c r="A63" s="133"/>
      <c r="B63" s="150" t="s">
        <v>13</v>
      </c>
      <c r="C63" s="150"/>
      <c r="D63" s="10"/>
      <c r="E63" s="28">
        <v>150000</v>
      </c>
      <c r="F63" s="28">
        <v>320000</v>
      </c>
      <c r="G63" s="28">
        <v>320000</v>
      </c>
      <c r="H63" s="28">
        <v>320000</v>
      </c>
      <c r="I63" s="28">
        <v>320000</v>
      </c>
    </row>
    <row r="64" spans="1:16" ht="19.5" customHeight="1" x14ac:dyDescent="0.2">
      <c r="A64" s="133"/>
      <c r="B64" s="150" t="s">
        <v>36</v>
      </c>
      <c r="C64" s="150"/>
      <c r="D64" s="10"/>
      <c r="E64" s="28">
        <v>100000</v>
      </c>
      <c r="F64" s="28">
        <v>100000</v>
      </c>
      <c r="G64" s="28">
        <v>100000</v>
      </c>
      <c r="H64" s="28">
        <v>100000</v>
      </c>
      <c r="I64" s="28">
        <v>100000</v>
      </c>
    </row>
    <row r="65" spans="1:15" ht="19.5" customHeight="1" x14ac:dyDescent="0.2">
      <c r="A65" s="133"/>
      <c r="B65" s="150" t="s">
        <v>37</v>
      </c>
      <c r="C65" s="150"/>
      <c r="D65" s="10"/>
      <c r="E65" s="28">
        <v>300000</v>
      </c>
      <c r="F65" s="28">
        <v>300000</v>
      </c>
      <c r="G65" s="28">
        <v>300000</v>
      </c>
      <c r="H65" s="28">
        <v>300000</v>
      </c>
      <c r="I65" s="28">
        <v>300000</v>
      </c>
    </row>
    <row r="66" spans="1:15" ht="19.5" customHeight="1" x14ac:dyDescent="0.2">
      <c r="A66" s="133"/>
      <c r="B66" s="150" t="s">
        <v>40</v>
      </c>
      <c r="C66" s="150"/>
      <c r="D66" s="10"/>
      <c r="E66" s="28">
        <f>L62</f>
        <v>282334</v>
      </c>
      <c r="F66" s="28">
        <f>M62</f>
        <v>319994</v>
      </c>
      <c r="G66" s="28">
        <f>N62</f>
        <v>261278</v>
      </c>
      <c r="H66" s="28">
        <f>O62</f>
        <v>261278</v>
      </c>
      <c r="I66" s="28">
        <f>P62</f>
        <v>260497</v>
      </c>
    </row>
    <row r="67" spans="1:15" ht="19.5" customHeight="1" x14ac:dyDescent="0.2">
      <c r="A67" s="133"/>
      <c r="B67" s="135" t="s">
        <v>45</v>
      </c>
      <c r="C67" s="135"/>
      <c r="D67" s="11"/>
      <c r="E67" s="28">
        <v>32000</v>
      </c>
      <c r="F67" s="28">
        <v>32000</v>
      </c>
      <c r="G67" s="28">
        <v>32000</v>
      </c>
      <c r="H67" s="28">
        <v>32000</v>
      </c>
      <c r="I67" s="28">
        <v>32000</v>
      </c>
    </row>
    <row r="68" spans="1:15" ht="19.5" customHeight="1" x14ac:dyDescent="0.2">
      <c r="A68" s="133"/>
      <c r="B68" s="148" t="s">
        <v>44</v>
      </c>
      <c r="C68" s="149"/>
      <c r="D68" s="15"/>
      <c r="E68" s="28">
        <v>30000</v>
      </c>
      <c r="F68" s="28">
        <v>50000</v>
      </c>
      <c r="G68" s="28">
        <v>50000</v>
      </c>
      <c r="H68" s="28">
        <v>50000</v>
      </c>
      <c r="I68" s="28">
        <v>50000</v>
      </c>
    </row>
    <row r="69" spans="1:15" ht="19.5" customHeight="1" x14ac:dyDescent="0.2">
      <c r="A69" s="133"/>
      <c r="B69" s="135" t="s">
        <v>39</v>
      </c>
      <c r="C69" s="135"/>
      <c r="D69" s="11"/>
      <c r="E69" s="28">
        <v>480000</v>
      </c>
      <c r="F69" s="28">
        <v>640000</v>
      </c>
      <c r="G69" s="28">
        <v>640000</v>
      </c>
      <c r="H69" s="28">
        <v>640000</v>
      </c>
      <c r="I69" s="28">
        <v>640000</v>
      </c>
    </row>
    <row r="70" spans="1:15" ht="19.5" customHeight="1" x14ac:dyDescent="0.2">
      <c r="A70" s="133"/>
      <c r="B70" s="135" t="s">
        <v>50</v>
      </c>
      <c r="C70" s="135"/>
      <c r="D70" s="11"/>
      <c r="E70" s="28">
        <v>10000</v>
      </c>
      <c r="F70" s="28">
        <v>10000</v>
      </c>
      <c r="G70" s="28">
        <v>10000</v>
      </c>
      <c r="H70" s="28">
        <v>10000</v>
      </c>
      <c r="I70" s="28">
        <v>10000</v>
      </c>
    </row>
    <row r="71" spans="1:15" ht="19.5" hidden="1" customHeight="1" x14ac:dyDescent="0.2">
      <c r="A71" s="133"/>
      <c r="B71" s="135" t="s">
        <v>42</v>
      </c>
      <c r="C71" s="135"/>
      <c r="D71" s="11"/>
      <c r="E71" s="28">
        <v>0</v>
      </c>
      <c r="F71" s="28">
        <v>0</v>
      </c>
      <c r="G71" s="28">
        <v>0</v>
      </c>
      <c r="H71" s="28">
        <v>0</v>
      </c>
      <c r="I71" s="28">
        <v>0</v>
      </c>
    </row>
    <row r="72" spans="1:15" ht="19.5" customHeight="1" x14ac:dyDescent="0.2">
      <c r="A72" s="134"/>
      <c r="B72" s="135" t="s">
        <v>96</v>
      </c>
      <c r="C72" s="135"/>
      <c r="D72" s="11"/>
      <c r="E72" s="28">
        <v>0</v>
      </c>
      <c r="F72" s="28">
        <v>0</v>
      </c>
      <c r="G72" s="28">
        <v>100000</v>
      </c>
      <c r="H72" s="28">
        <v>650000</v>
      </c>
      <c r="I72" s="28">
        <v>650000</v>
      </c>
    </row>
    <row r="73" spans="1:15" ht="19.5" customHeight="1" x14ac:dyDescent="0.2">
      <c r="A73" s="136" t="s">
        <v>46</v>
      </c>
      <c r="B73" s="137"/>
      <c r="C73" s="137"/>
      <c r="D73" s="9"/>
      <c r="E73" s="26">
        <f>SUM(E57:E72)</f>
        <v>2124334</v>
      </c>
      <c r="F73" s="26">
        <f>SUM(F57:F72)</f>
        <v>3251994</v>
      </c>
      <c r="G73" s="26">
        <f>SUM(G57:G72)</f>
        <v>3598278</v>
      </c>
      <c r="H73" s="26">
        <f>SUM(H57:H72)</f>
        <v>4713278</v>
      </c>
      <c r="I73" s="26">
        <f>SUM(I57:I72)</f>
        <v>4712497</v>
      </c>
    </row>
    <row r="74" spans="1:15" ht="50.25" customHeight="1" x14ac:dyDescent="0.2">
      <c r="A74" s="138" t="s">
        <v>48</v>
      </c>
      <c r="B74" s="139"/>
      <c r="C74" s="139"/>
      <c r="D74" s="12"/>
      <c r="E74" s="29" t="s">
        <v>51</v>
      </c>
      <c r="F74" s="36"/>
      <c r="G74" s="36"/>
      <c r="H74" s="36"/>
      <c r="I74" s="36"/>
      <c r="O74" s="51"/>
    </row>
    <row r="75" spans="1:15" ht="7.5" customHeight="1" x14ac:dyDescent="0.2"/>
    <row r="76" spans="1:15" ht="17.25" customHeight="1" x14ac:dyDescent="0.2">
      <c r="A76" s="140" t="s">
        <v>53</v>
      </c>
      <c r="B76" s="141"/>
      <c r="C76" s="142"/>
      <c r="D76" s="16"/>
      <c r="E76" s="30">
        <f>E52-E73</f>
        <v>5666</v>
      </c>
      <c r="F76" s="30">
        <f>F52-F73</f>
        <v>373006</v>
      </c>
      <c r="G76" s="30">
        <f>G52-G73</f>
        <v>536722</v>
      </c>
      <c r="H76" s="30">
        <f>H52-H73</f>
        <v>546722</v>
      </c>
      <c r="I76" s="30">
        <f>I52-I73</f>
        <v>2501503</v>
      </c>
    </row>
    <row r="77" spans="1:15" ht="19.5" customHeight="1" x14ac:dyDescent="0.2">
      <c r="A77" s="1" t="s">
        <v>38</v>
      </c>
    </row>
  </sheetData>
  <mergeCells count="42">
    <mergeCell ref="A2:I2"/>
    <mergeCell ref="E4:I4"/>
    <mergeCell ref="A51:C51"/>
    <mergeCell ref="A52:C52"/>
    <mergeCell ref="E54:I54"/>
    <mergeCell ref="B40:B42"/>
    <mergeCell ref="B43:B45"/>
    <mergeCell ref="B46:B48"/>
    <mergeCell ref="A54:C56"/>
    <mergeCell ref="A7:A50"/>
    <mergeCell ref="B34:B36"/>
    <mergeCell ref="B37:B39"/>
    <mergeCell ref="B67:C67"/>
    <mergeCell ref="B68:C68"/>
    <mergeCell ref="B69:C69"/>
    <mergeCell ref="B62:C62"/>
    <mergeCell ref="B63:C63"/>
    <mergeCell ref="B64:C64"/>
    <mergeCell ref="B65:C65"/>
    <mergeCell ref="B66:C66"/>
    <mergeCell ref="B57:C57"/>
    <mergeCell ref="B58:C58"/>
    <mergeCell ref="B59:C59"/>
    <mergeCell ref="B60:C60"/>
    <mergeCell ref="B61:C61"/>
    <mergeCell ref="B19:B21"/>
    <mergeCell ref="B22:B24"/>
    <mergeCell ref="B25:B27"/>
    <mergeCell ref="B28:B30"/>
    <mergeCell ref="B31:B33"/>
    <mergeCell ref="A4:C6"/>
    <mergeCell ref="B7:B9"/>
    <mergeCell ref="B10:B12"/>
    <mergeCell ref="B13:B15"/>
    <mergeCell ref="B16:B18"/>
    <mergeCell ref="A57:A72"/>
    <mergeCell ref="B72:C72"/>
    <mergeCell ref="A73:C73"/>
    <mergeCell ref="A74:C74"/>
    <mergeCell ref="A76:C76"/>
    <mergeCell ref="B70:C70"/>
    <mergeCell ref="B71:C71"/>
  </mergeCells>
  <phoneticPr fontId="19"/>
  <pageMargins left="0.78740157480314965" right="0.09" top="0.29354872438310325" bottom="0.27887128816394813" header="0.30822616060225844" footer="0.30822616060225844"/>
  <pageSetup paperSize="9" orientation="portrait" r:id="rId1"/>
  <headerFooter alignWithMargins="0"/>
  <rowBreaks count="1" manualBreakCount="1">
    <brk id="53" max="7" man="1"/>
  </rowBreaks>
  <colBreaks count="1" manualBreakCount="1">
    <brk id="9" max="12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topLeftCell="A10" workbookViewId="0">
      <selection activeCell="M21" sqref="M21"/>
    </sheetView>
  </sheetViews>
  <sheetFormatPr defaultRowHeight="13" x14ac:dyDescent="0.2"/>
  <cols>
    <col min="1" max="1" width="3.26953125" customWidth="1"/>
    <col min="2" max="2" width="13.7265625" customWidth="1"/>
    <col min="3" max="3" width="9" customWidth="1"/>
    <col min="4" max="4" width="15.36328125" hidden="1" customWidth="1"/>
    <col min="5" max="9" width="11.7265625" bestFit="1" customWidth="1"/>
  </cols>
  <sheetData>
    <row r="1" spans="1:9" x14ac:dyDescent="0.2">
      <c r="A1" s="1" t="s">
        <v>2</v>
      </c>
      <c r="B1" s="2"/>
      <c r="C1" s="1"/>
      <c r="D1" s="1"/>
      <c r="E1" s="1"/>
      <c r="F1" s="1"/>
      <c r="G1" s="1"/>
      <c r="H1" s="1"/>
      <c r="I1" s="1"/>
    </row>
    <row r="2" spans="1:9" ht="19" x14ac:dyDescent="0.2">
      <c r="A2" s="151" t="s">
        <v>5</v>
      </c>
      <c r="B2" s="151"/>
      <c r="C2" s="151"/>
      <c r="D2" s="151"/>
      <c r="E2" s="151"/>
      <c r="F2" s="151"/>
      <c r="G2" s="151"/>
      <c r="H2" s="151"/>
      <c r="I2" s="151"/>
    </row>
    <row r="3" spans="1:9" ht="36.75" customHeight="1" x14ac:dyDescent="0.2">
      <c r="A3" s="1"/>
      <c r="B3" s="2"/>
      <c r="C3" s="1"/>
      <c r="D3" s="1"/>
      <c r="E3" s="20"/>
      <c r="F3" s="20"/>
      <c r="G3" s="20"/>
      <c r="H3" s="20"/>
      <c r="I3" s="20"/>
    </row>
    <row r="4" spans="1:9" s="1" customFormat="1" x14ac:dyDescent="0.2">
      <c r="A4" s="143"/>
      <c r="B4" s="143"/>
      <c r="C4" s="143"/>
      <c r="D4" s="17"/>
      <c r="E4" s="152" t="s">
        <v>6</v>
      </c>
      <c r="F4" s="152"/>
      <c r="G4" s="152"/>
      <c r="H4" s="152"/>
      <c r="I4" s="152"/>
    </row>
    <row r="5" spans="1:9" s="1" customFormat="1" ht="19.5" customHeight="1" x14ac:dyDescent="0.2">
      <c r="A5" s="143"/>
      <c r="B5" s="143"/>
      <c r="C5" s="143"/>
      <c r="D5" s="17"/>
      <c r="E5" s="21" t="s">
        <v>7</v>
      </c>
      <c r="F5" s="21" t="s">
        <v>10</v>
      </c>
      <c r="G5" s="21" t="s">
        <v>9</v>
      </c>
      <c r="H5" s="21" t="s">
        <v>15</v>
      </c>
      <c r="I5" s="21" t="s">
        <v>3</v>
      </c>
    </row>
    <row r="6" spans="1:9" s="1" customFormat="1" ht="28.5" customHeight="1" x14ac:dyDescent="0.2">
      <c r="A6" s="143"/>
      <c r="B6" s="143"/>
      <c r="C6" s="143"/>
      <c r="D6" s="17"/>
      <c r="E6" s="22" t="s">
        <v>16</v>
      </c>
      <c r="F6" s="22" t="s">
        <v>0</v>
      </c>
      <c r="G6" s="22" t="s">
        <v>18</v>
      </c>
      <c r="H6" s="22" t="s">
        <v>22</v>
      </c>
      <c r="I6" s="22" t="s">
        <v>23</v>
      </c>
    </row>
    <row r="7" spans="1:9" x14ac:dyDescent="0.2">
      <c r="A7" s="161" t="s">
        <v>20</v>
      </c>
      <c r="B7" s="158" t="str">
        <f>品種別詳細表!A90</f>
        <v>温州みかん</v>
      </c>
      <c r="C7" s="13" t="s">
        <v>24</v>
      </c>
      <c r="D7" s="13" t="str">
        <f>$B$7&amp;C7</f>
        <v>温州みかん経営規模(a)</v>
      </c>
      <c r="E7" s="23">
        <f>VLOOKUP($D7,品種別詳細表!$C$90:$H$112,2,1)</f>
        <v>100</v>
      </c>
      <c r="F7" s="23">
        <f>VLOOKUP($D7,品種別詳細表!$C$90:$H$112,3,1)</f>
        <v>100</v>
      </c>
      <c r="G7" s="23">
        <f>VLOOKUP($D7,品種別詳細表!$C$90:$H$112,4,1)</f>
        <v>100</v>
      </c>
      <c r="H7" s="23">
        <f>VLOOKUP($D7,品種別詳細表!$C$90:$H$112,5,1)</f>
        <v>120</v>
      </c>
      <c r="I7" s="23">
        <f>VLOOKUP($D7,品種別詳細表!$C$90:$H$112,6,1)</f>
        <v>120</v>
      </c>
    </row>
    <row r="8" spans="1:9" x14ac:dyDescent="0.2">
      <c r="A8" s="161"/>
      <c r="B8" s="159"/>
      <c r="C8" s="13" t="s">
        <v>28</v>
      </c>
      <c r="D8" s="13" t="str">
        <f>$B$7&amp;C8</f>
        <v>温州みかん生産量(kg)</v>
      </c>
      <c r="E8" s="23">
        <f>VLOOKUP($D8,品種別詳細表!$C$90:$H$112,2,1)</f>
        <v>15000</v>
      </c>
      <c r="F8" s="23">
        <f>VLOOKUP($D8,品種別詳細表!$C$90:$H$112,3,1)</f>
        <v>20500</v>
      </c>
      <c r="G8" s="23">
        <f>VLOOKUP($D8,品種別詳細表!$C$90:$H$112,4,1)</f>
        <v>23500</v>
      </c>
      <c r="H8" s="23">
        <f>VLOOKUP($D8,品種別詳細表!$C$90:$H$112,5,1)</f>
        <v>28000</v>
      </c>
      <c r="I8" s="23">
        <f>VLOOKUP($D8,品種別詳細表!$C$90:$H$112,6,1)</f>
        <v>34000</v>
      </c>
    </row>
    <row r="9" spans="1:9" x14ac:dyDescent="0.2">
      <c r="A9" s="161"/>
      <c r="B9" s="160"/>
      <c r="C9" s="13" t="s">
        <v>26</v>
      </c>
      <c r="D9" s="13" t="str">
        <f>$B$7&amp;C9</f>
        <v>温州みかん売上高</v>
      </c>
      <c r="E9" s="23">
        <f>VLOOKUP($D9,品種別詳細表!$C$90:$H$112,2,1)</f>
        <v>2130000</v>
      </c>
      <c r="F9" s="23">
        <f>VLOOKUP($D9,品種別詳細表!$C$90:$H$112,3,1)</f>
        <v>2825000</v>
      </c>
      <c r="G9" s="23">
        <f>VLOOKUP($D9,品種別詳細表!$C$90:$H$112,4,1)</f>
        <v>3235000</v>
      </c>
      <c r="H9" s="23">
        <f>VLOOKUP($D9,品種別詳細表!$C$90:$H$112,5,1)</f>
        <v>4200000</v>
      </c>
      <c r="I9" s="23">
        <f>VLOOKUP($D9,品種別詳細表!$C$90:$H$112,6,1)</f>
        <v>5480000</v>
      </c>
    </row>
    <row r="10" spans="1:9" x14ac:dyDescent="0.2">
      <c r="A10" s="161"/>
      <c r="B10" s="144" t="str">
        <f>品種別詳細表!A96</f>
        <v>中晩柑類</v>
      </c>
      <c r="C10" s="13" t="s">
        <v>24</v>
      </c>
      <c r="D10" s="13" t="str">
        <f>$B$10&amp;C10</f>
        <v>中晩柑類経営規模(a)</v>
      </c>
      <c r="E10" s="23">
        <f>VLOOKUP($D10,品種別詳細表!$C$90:$H$112,2,1)</f>
        <v>35</v>
      </c>
      <c r="F10" s="23">
        <f>VLOOKUP($D10,品種別詳細表!$C$90:$H$112,3,1)</f>
        <v>35</v>
      </c>
      <c r="G10" s="23">
        <f>VLOOKUP($D10,品種別詳細表!$C$90:$H$112,4,1)</f>
        <v>35</v>
      </c>
      <c r="H10" s="23">
        <f>VLOOKUP($D10,品種別詳細表!$C$90:$H$112,5,1)</f>
        <v>35</v>
      </c>
      <c r="I10" s="23">
        <f>VLOOKUP($D10,品種別詳細表!$C$90:$H$112,6,1)</f>
        <v>35</v>
      </c>
    </row>
    <row r="11" spans="1:9" x14ac:dyDescent="0.2">
      <c r="A11" s="161"/>
      <c r="B11" s="145"/>
      <c r="C11" s="13" t="s">
        <v>28</v>
      </c>
      <c r="D11" s="13" t="str">
        <f>$B$10&amp;C11</f>
        <v>中晩柑類生産量(kg)</v>
      </c>
      <c r="E11" s="23">
        <f>VLOOKUP($D11,品種別詳細表!$C$90:$H$112,2,1)</f>
        <v>0</v>
      </c>
      <c r="F11" s="23">
        <f>VLOOKUP($D11,品種別詳細表!$C$90:$H$112,3,1)</f>
        <v>8000</v>
      </c>
      <c r="G11" s="23">
        <f>VLOOKUP($D11,品種別詳細表!$C$90:$H$112,4,1)</f>
        <v>9000</v>
      </c>
      <c r="H11" s="23">
        <f>VLOOKUP($D11,品種別詳細表!$C$90:$H$112,5,1)</f>
        <v>7000</v>
      </c>
      <c r="I11" s="23">
        <f>VLOOKUP($D11,品種別詳細表!$C$90:$H$112,6,1)</f>
        <v>9500</v>
      </c>
    </row>
    <row r="12" spans="1:9" x14ac:dyDescent="0.2">
      <c r="A12" s="161"/>
      <c r="B12" s="145"/>
      <c r="C12" s="13" t="s">
        <v>26</v>
      </c>
      <c r="D12" s="13" t="str">
        <f>$B$10&amp;C12</f>
        <v>中晩柑類売上高</v>
      </c>
      <c r="E12" s="23">
        <f>VLOOKUP($D12,品種別詳細表!$C$90:$H$112,2,1)</f>
        <v>0</v>
      </c>
      <c r="F12" s="23">
        <f>VLOOKUP($D12,品種別詳細表!$C$90:$H$112,3,1)</f>
        <v>800000</v>
      </c>
      <c r="G12" s="23">
        <f>VLOOKUP($D12,品種別詳細表!$C$90:$H$112,4,1)</f>
        <v>900000</v>
      </c>
      <c r="H12" s="23">
        <f>VLOOKUP($D12,品種別詳細表!$C$90:$H$112,5,1)</f>
        <v>1060000</v>
      </c>
      <c r="I12" s="23">
        <f>VLOOKUP($D12,品種別詳細表!$C$90:$H$112,6,1)</f>
        <v>1725000</v>
      </c>
    </row>
    <row r="13" spans="1:9" x14ac:dyDescent="0.2">
      <c r="A13" s="161"/>
      <c r="B13" s="146" t="str">
        <f>品種別詳細表!A102</f>
        <v>香酸柑橘類</v>
      </c>
      <c r="C13" s="13" t="s">
        <v>24</v>
      </c>
      <c r="D13" s="13" t="str">
        <f>$B$13&amp;C13</f>
        <v>香酸柑橘類経営規模(a)</v>
      </c>
      <c r="E13" s="23">
        <f>VLOOKUP($D13,品種別詳細表!$C$90:$H$112,2,1)</f>
        <v>10</v>
      </c>
      <c r="F13" s="23">
        <f>VLOOKUP($D13,品種別詳細表!$C$90:$H$112,3,1)</f>
        <v>10</v>
      </c>
      <c r="G13" s="23">
        <f>VLOOKUP($D13,品種別詳細表!$C$90:$H$112,4,1)</f>
        <v>10</v>
      </c>
      <c r="H13" s="23">
        <f>VLOOKUP($D13,品種別詳細表!$C$90:$H$112,5,1)</f>
        <v>10</v>
      </c>
      <c r="I13" s="23">
        <f>VLOOKUP($D13,品種別詳細表!$C$90:$H$112,6,1)</f>
        <v>10</v>
      </c>
    </row>
    <row r="14" spans="1:9" x14ac:dyDescent="0.2">
      <c r="A14" s="161"/>
      <c r="B14" s="147"/>
      <c r="C14" s="13" t="s">
        <v>28</v>
      </c>
      <c r="D14" s="13" t="str">
        <f>$B$13&amp;C14</f>
        <v>香酸柑橘類生産量(kg)</v>
      </c>
      <c r="E14" s="23">
        <f>VLOOKUP($D14,品種別詳細表!$C$90:$H$112,2,1)</f>
        <v>0</v>
      </c>
      <c r="F14" s="23">
        <f>VLOOKUP($D14,品種別詳細表!$C$90:$H$112,3,1)</f>
        <v>0</v>
      </c>
      <c r="G14" s="23">
        <f>VLOOKUP($D14,品種別詳細表!$C$90:$H$112,4,1)</f>
        <v>0</v>
      </c>
      <c r="H14" s="23">
        <f>VLOOKUP($D14,品種別詳細表!$C$90:$H$112,5,1)</f>
        <v>0</v>
      </c>
      <c r="I14" s="23">
        <f>VLOOKUP($D14,品種別詳細表!$C$90:$H$112,6,1)</f>
        <v>100</v>
      </c>
    </row>
    <row r="15" spans="1:9" x14ac:dyDescent="0.2">
      <c r="A15" s="161"/>
      <c r="B15" s="147"/>
      <c r="C15" s="13" t="s">
        <v>26</v>
      </c>
      <c r="D15" s="13" t="str">
        <f>$B$13&amp;C15</f>
        <v>香酸柑橘類売上高</v>
      </c>
      <c r="E15" s="23">
        <f>VLOOKUP($D15,品種別詳細表!$C$90:$H$112,2,1)</f>
        <v>0</v>
      </c>
      <c r="F15" s="23">
        <f>VLOOKUP($D15,品種別詳細表!$C$90:$H$112,3,1)</f>
        <v>0</v>
      </c>
      <c r="G15" s="23">
        <f>VLOOKUP($D15,品種別詳細表!$C$90:$H$112,4,1)</f>
        <v>0</v>
      </c>
      <c r="H15" s="23">
        <f>VLOOKUP($D15,品種別詳細表!$C$90:$H$112,5,1)</f>
        <v>0</v>
      </c>
      <c r="I15" s="23">
        <f>VLOOKUP($D15,品種別詳細表!$C$90:$H$112,6,1)</f>
        <v>9000</v>
      </c>
    </row>
    <row r="16" spans="1:9" hidden="1" x14ac:dyDescent="0.2">
      <c r="A16" s="161"/>
      <c r="B16" s="145">
        <v>4</v>
      </c>
      <c r="C16" s="13" t="s">
        <v>24</v>
      </c>
      <c r="D16" s="13" t="str">
        <f>$B$16&amp;C16</f>
        <v>4経営規模(a)</v>
      </c>
      <c r="E16" s="23">
        <f>VLOOKUP($D16,品種別詳細表!$C$90:$H$112,2,1)</f>
        <v>0</v>
      </c>
      <c r="F16" s="23">
        <f>VLOOKUP($D16,品種別詳細表!$C$90:$H$112,3,1)</f>
        <v>0</v>
      </c>
      <c r="G16" s="23">
        <f>VLOOKUP($D16,品種別詳細表!$C$90:$H$112,4,1)</f>
        <v>0</v>
      </c>
      <c r="H16" s="23">
        <f>VLOOKUP($D16,品種別詳細表!$C$90:$H$112,5,1)</f>
        <v>0</v>
      </c>
      <c r="I16" s="23">
        <f>VLOOKUP($D16,品種別詳細表!$C$90:$H$112,6,1)</f>
        <v>0</v>
      </c>
    </row>
    <row r="17" spans="1:9" hidden="1" x14ac:dyDescent="0.2">
      <c r="A17" s="161"/>
      <c r="B17" s="145"/>
      <c r="C17" s="13" t="s">
        <v>28</v>
      </c>
      <c r="D17" s="13" t="str">
        <f>$B$16&amp;C17</f>
        <v>4生産量(kg)</v>
      </c>
      <c r="E17" s="23">
        <f>VLOOKUP($D17,品種別詳細表!$C$90:$H$112,2,1)</f>
        <v>0</v>
      </c>
      <c r="F17" s="23">
        <f>VLOOKUP($D17,品種別詳細表!$C$90:$H$112,3,1)</f>
        <v>0</v>
      </c>
      <c r="G17" s="23">
        <f>VLOOKUP($D17,品種別詳細表!$C$90:$H$112,4,1)</f>
        <v>0</v>
      </c>
      <c r="H17" s="23">
        <f>VLOOKUP($D17,品種別詳細表!$C$90:$H$112,5,1)</f>
        <v>0</v>
      </c>
      <c r="I17" s="23">
        <f>VLOOKUP($D17,品種別詳細表!$C$90:$H$112,6,1)</f>
        <v>0</v>
      </c>
    </row>
    <row r="18" spans="1:9" hidden="1" x14ac:dyDescent="0.2">
      <c r="A18" s="161"/>
      <c r="B18" s="145"/>
      <c r="C18" s="13" t="s">
        <v>26</v>
      </c>
      <c r="D18" s="13" t="str">
        <f>$B$16&amp;C18</f>
        <v>4売上高</v>
      </c>
      <c r="E18" s="23">
        <f>VLOOKUP($D18,品種別詳細表!$C$90:$H$112,2,1)</f>
        <v>0</v>
      </c>
      <c r="F18" s="23">
        <f>VLOOKUP($D18,品種別詳細表!$C$90:$H$112,3,1)</f>
        <v>0</v>
      </c>
      <c r="G18" s="23">
        <f>VLOOKUP($D18,品種別詳細表!$C$90:$H$112,4,1)</f>
        <v>0</v>
      </c>
      <c r="H18" s="23">
        <f>VLOOKUP($D18,品種別詳細表!$C$90:$H$112,5,1)</f>
        <v>0</v>
      </c>
      <c r="I18" s="23">
        <f>VLOOKUP($D18,品種別詳細表!$C$90:$H$112,6,1)</f>
        <v>0</v>
      </c>
    </row>
    <row r="19" spans="1:9" s="1" customFormat="1" ht="14.25" customHeight="1" x14ac:dyDescent="0.2">
      <c r="A19" s="3"/>
      <c r="B19" s="52" t="s">
        <v>29</v>
      </c>
      <c r="C19" s="10" t="s">
        <v>26</v>
      </c>
      <c r="D19" s="13"/>
      <c r="E19" s="23"/>
      <c r="F19" s="23"/>
      <c r="G19" s="23"/>
      <c r="H19" s="23"/>
      <c r="I19" s="23"/>
    </row>
    <row r="20" spans="1:9" s="1" customFormat="1" ht="30" customHeight="1" x14ac:dyDescent="0.2">
      <c r="A20" s="4"/>
      <c r="B20" s="8" t="s">
        <v>30</v>
      </c>
      <c r="C20" s="14" t="s">
        <v>26</v>
      </c>
      <c r="D20" s="8"/>
      <c r="E20" s="24"/>
      <c r="F20" s="35"/>
      <c r="G20" s="35"/>
      <c r="H20" s="35"/>
      <c r="I20" s="35"/>
    </row>
    <row r="21" spans="1:9" x14ac:dyDescent="0.2">
      <c r="A21" s="172" t="s">
        <v>129</v>
      </c>
      <c r="B21" s="173"/>
      <c r="C21" s="173"/>
      <c r="D21" s="9"/>
      <c r="E21" s="53"/>
      <c r="F21" s="53"/>
      <c r="G21" s="53"/>
      <c r="H21" s="54"/>
      <c r="I21" s="55"/>
    </row>
    <row r="22" spans="1:9" x14ac:dyDescent="0.2">
      <c r="A22" s="136" t="s">
        <v>99</v>
      </c>
      <c r="B22" s="137"/>
      <c r="C22" s="137"/>
      <c r="D22" s="9"/>
      <c r="E22" s="26">
        <f>SUMIFS(E$7:E$20,$C$7:$C$20,"売上高")</f>
        <v>2130000</v>
      </c>
      <c r="F22" s="26">
        <f>SUMIFS(F$7:F$20,$C$7:$C$20,"売上高")</f>
        <v>3625000</v>
      </c>
      <c r="G22" s="26">
        <f>SUMIFS(G$7:G$20,$C$7:$C$20,"売上高")</f>
        <v>4135000</v>
      </c>
      <c r="H22" s="26">
        <f>SUMIFS(H$7:H$20,$C$7:$C$20,"売上高")</f>
        <v>5260000</v>
      </c>
      <c r="I22" s="26">
        <f>SUMIFS(I$7:I$20,$C$7:$C$20,"売上高")</f>
        <v>7214000</v>
      </c>
    </row>
  </sheetData>
  <mergeCells count="10">
    <mergeCell ref="A2:I2"/>
    <mergeCell ref="E4:I4"/>
    <mergeCell ref="A21:C21"/>
    <mergeCell ref="A22:C22"/>
    <mergeCell ref="A4:C6"/>
    <mergeCell ref="B7:B9"/>
    <mergeCell ref="B10:B12"/>
    <mergeCell ref="B13:B15"/>
    <mergeCell ref="B16:B18"/>
    <mergeCell ref="A7:A18"/>
  </mergeCells>
  <phoneticPr fontId="19" type="Hiragana"/>
  <pageMargins left="0.78740157480314943" right="0.78740157480314943" top="0.98425196850393681" bottom="0.98425196850393681" header="0.51181102362204722"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4"/>
  <sheetViews>
    <sheetView topLeftCell="A37" zoomScaleSheetLayoutView="85" workbookViewId="0">
      <selection activeCell="B127" sqref="B127"/>
    </sheetView>
  </sheetViews>
  <sheetFormatPr defaultRowHeight="13" x14ac:dyDescent="0.2"/>
  <cols>
    <col min="1" max="2" width="14.6328125" style="56" customWidth="1"/>
    <col min="3" max="3" width="22.36328125" style="56" hidden="1" customWidth="1"/>
    <col min="4" max="8" width="14.6328125" style="56" customWidth="1"/>
    <col min="9" max="11" width="9" style="56" bestFit="1" customWidth="1"/>
    <col min="12" max="14" width="9.90625" style="56" bestFit="1" customWidth="1"/>
    <col min="15" max="15" width="20.6328125" style="56" customWidth="1"/>
    <col min="16" max="16383" width="9" style="56" bestFit="1" customWidth="1"/>
    <col min="16384" max="16384" width="9" style="56" customWidth="1"/>
  </cols>
  <sheetData>
    <row r="1" spans="1:15" ht="15" customHeight="1" x14ac:dyDescent="0.25">
      <c r="A1" s="57" t="s">
        <v>102</v>
      </c>
      <c r="C1" s="57"/>
    </row>
    <row r="2" spans="1:15" ht="3.75" customHeight="1" x14ac:dyDescent="0.2"/>
    <row r="3" spans="1:15" ht="12" customHeight="1" x14ac:dyDescent="0.2">
      <c r="A3" s="58" t="s">
        <v>55</v>
      </c>
      <c r="B3" s="66"/>
      <c r="C3" s="73"/>
      <c r="D3" s="82" t="s">
        <v>7</v>
      </c>
      <c r="E3" s="82" t="s">
        <v>10</v>
      </c>
      <c r="F3" s="82" t="s">
        <v>9</v>
      </c>
      <c r="G3" s="82" t="s">
        <v>15</v>
      </c>
      <c r="H3" s="87" t="s">
        <v>3</v>
      </c>
      <c r="I3" s="99" t="s">
        <v>56</v>
      </c>
      <c r="J3" s="99"/>
      <c r="K3" s="99"/>
      <c r="L3" s="99"/>
      <c r="M3" s="102" t="s">
        <v>57</v>
      </c>
      <c r="N3" s="107" t="s">
        <v>25</v>
      </c>
      <c r="O3" s="110" t="s">
        <v>59</v>
      </c>
    </row>
    <row r="4" spans="1:15" ht="12" customHeight="1" x14ac:dyDescent="0.2">
      <c r="A4" s="162" t="s">
        <v>60</v>
      </c>
      <c r="B4" s="67" t="s">
        <v>24</v>
      </c>
      <c r="C4" s="74" t="str">
        <f>A4&amp;B4</f>
        <v>早生温州経営規模(a)</v>
      </c>
      <c r="D4" s="83">
        <v>50</v>
      </c>
      <c r="E4" s="83">
        <v>50</v>
      </c>
      <c r="F4" s="83">
        <v>50</v>
      </c>
      <c r="G4" s="83">
        <v>50</v>
      </c>
      <c r="H4" s="88">
        <v>50</v>
      </c>
      <c r="I4" s="99">
        <v>1</v>
      </c>
      <c r="J4" s="99"/>
      <c r="K4" s="99"/>
      <c r="L4" s="99"/>
      <c r="M4" s="103" t="s">
        <v>34</v>
      </c>
      <c r="N4" s="107" t="s">
        <v>54</v>
      </c>
      <c r="O4" s="110" t="s">
        <v>61</v>
      </c>
    </row>
    <row r="5" spans="1:15" ht="12" customHeight="1" x14ac:dyDescent="0.2">
      <c r="A5" s="162"/>
      <c r="B5" s="67" t="s">
        <v>63</v>
      </c>
      <c r="C5" s="74" t="str">
        <f>A4&amp;B5</f>
        <v>早生温州反収（ｋｇ）</v>
      </c>
      <c r="D5" s="67">
        <f>D6/D4*10</f>
        <v>1200</v>
      </c>
      <c r="E5" s="67">
        <f>E6/E4*10</f>
        <v>1600</v>
      </c>
      <c r="F5" s="67">
        <f>F6/F4*10</f>
        <v>1800</v>
      </c>
      <c r="G5" s="67">
        <f>G6/G4*10</f>
        <v>1800</v>
      </c>
      <c r="H5" s="89">
        <f>H6/H4*10</f>
        <v>2400</v>
      </c>
      <c r="I5" s="99">
        <v>1</v>
      </c>
      <c r="J5" s="99"/>
      <c r="K5" s="99"/>
      <c r="L5" s="99"/>
      <c r="M5" s="104"/>
      <c r="N5" s="108"/>
      <c r="O5" s="111" t="s">
        <v>21</v>
      </c>
    </row>
    <row r="6" spans="1:15" ht="12" customHeight="1" x14ac:dyDescent="0.2">
      <c r="A6" s="162"/>
      <c r="B6" s="67" t="s">
        <v>28</v>
      </c>
      <c r="C6" s="74" t="str">
        <f>A4&amp;B6</f>
        <v>早生温州生産量(kg)</v>
      </c>
      <c r="D6" s="83">
        <v>6000</v>
      </c>
      <c r="E6" s="83">
        <v>8000</v>
      </c>
      <c r="F6" s="83">
        <v>9000</v>
      </c>
      <c r="G6" s="83">
        <v>9000</v>
      </c>
      <c r="H6" s="88">
        <v>12000</v>
      </c>
      <c r="I6" s="99">
        <v>1</v>
      </c>
      <c r="J6" s="99"/>
      <c r="K6" s="99"/>
      <c r="L6" s="99"/>
      <c r="M6" s="104"/>
      <c r="N6" s="108"/>
      <c r="O6" s="111" t="s">
        <v>58</v>
      </c>
    </row>
    <row r="7" spans="1:15" ht="12" customHeight="1" x14ac:dyDescent="0.2">
      <c r="A7" s="162"/>
      <c r="B7" s="67" t="s">
        <v>95</v>
      </c>
      <c r="C7" s="74" t="str">
        <f>A4&amp;B7</f>
        <v>早生温州単価（円/ｋｇ）</v>
      </c>
      <c r="D7" s="83">
        <v>130</v>
      </c>
      <c r="E7" s="83">
        <v>130</v>
      </c>
      <c r="F7" s="83">
        <v>130</v>
      </c>
      <c r="G7" s="83">
        <v>140</v>
      </c>
      <c r="H7" s="90">
        <v>150</v>
      </c>
      <c r="I7" s="99">
        <v>1</v>
      </c>
      <c r="J7" s="99"/>
      <c r="K7" s="99"/>
      <c r="L7" s="99"/>
      <c r="M7" s="104"/>
      <c r="N7" s="108"/>
      <c r="O7" s="111" t="s">
        <v>65</v>
      </c>
    </row>
    <row r="8" spans="1:15" ht="12" customHeight="1" x14ac:dyDescent="0.2">
      <c r="A8" s="163"/>
      <c r="B8" s="68" t="s">
        <v>26</v>
      </c>
      <c r="C8" s="75" t="str">
        <f>A4&amp;B8</f>
        <v>早生温州売上高</v>
      </c>
      <c r="D8" s="68">
        <f>D6*D7</f>
        <v>780000</v>
      </c>
      <c r="E8" s="68">
        <f>E6*E7</f>
        <v>1040000</v>
      </c>
      <c r="F8" s="68">
        <f>F6*F7</f>
        <v>1170000</v>
      </c>
      <c r="G8" s="68">
        <f>G6*G7</f>
        <v>1260000</v>
      </c>
      <c r="H8" s="91">
        <f>H6*H7</f>
        <v>1800000</v>
      </c>
      <c r="I8" s="99">
        <v>1</v>
      </c>
      <c r="J8" s="99"/>
      <c r="K8" s="99"/>
      <c r="L8" s="99"/>
      <c r="M8" s="105"/>
      <c r="N8" s="109"/>
      <c r="O8" s="112" t="s">
        <v>67</v>
      </c>
    </row>
    <row r="9" spans="1:15" ht="12" customHeight="1" x14ac:dyDescent="0.2">
      <c r="A9" s="59" t="s">
        <v>55</v>
      </c>
      <c r="B9" s="69"/>
      <c r="C9" s="76"/>
      <c r="D9" s="21" t="s">
        <v>7</v>
      </c>
      <c r="E9" s="21" t="s">
        <v>10</v>
      </c>
      <c r="F9" s="21" t="s">
        <v>9</v>
      </c>
      <c r="G9" s="21" t="s">
        <v>15</v>
      </c>
      <c r="H9" s="92" t="s">
        <v>3</v>
      </c>
      <c r="I9" s="100"/>
      <c r="J9" s="99"/>
      <c r="K9" s="99"/>
      <c r="L9" s="99"/>
      <c r="M9" s="103" t="s">
        <v>49</v>
      </c>
      <c r="N9" s="107" t="s">
        <v>68</v>
      </c>
      <c r="O9" s="110" t="s">
        <v>69</v>
      </c>
    </row>
    <row r="10" spans="1:15" ht="12" customHeight="1" x14ac:dyDescent="0.2">
      <c r="A10" s="162" t="s">
        <v>66</v>
      </c>
      <c r="B10" s="67" t="s">
        <v>24</v>
      </c>
      <c r="C10" s="74" t="str">
        <f>A10&amp;B10</f>
        <v>南柑20号経営規模(a)</v>
      </c>
      <c r="D10" s="83">
        <v>30</v>
      </c>
      <c r="E10" s="83">
        <v>30</v>
      </c>
      <c r="F10" s="83">
        <v>30</v>
      </c>
      <c r="G10" s="83">
        <v>50</v>
      </c>
      <c r="H10" s="88">
        <v>50</v>
      </c>
      <c r="I10" s="99">
        <v>1</v>
      </c>
      <c r="J10" s="99"/>
      <c r="K10" s="99"/>
      <c r="L10" s="99"/>
      <c r="M10" s="104"/>
      <c r="N10" s="108"/>
      <c r="O10" s="111" t="s">
        <v>70</v>
      </c>
    </row>
    <row r="11" spans="1:15" ht="12" customHeight="1" x14ac:dyDescent="0.2">
      <c r="A11" s="162"/>
      <c r="B11" s="67" t="s">
        <v>63</v>
      </c>
      <c r="C11" s="74" t="str">
        <f>A10&amp;B11</f>
        <v>南柑20号反収（ｋｇ）</v>
      </c>
      <c r="D11" s="67">
        <f>D12/D10*10</f>
        <v>3000</v>
      </c>
      <c r="E11" s="67">
        <f>E12/E10*10</f>
        <v>2666.666666666667</v>
      </c>
      <c r="F11" s="67">
        <f>F12/F10*10</f>
        <v>3000</v>
      </c>
      <c r="G11" s="67">
        <f>G12/G10*10</f>
        <v>2800</v>
      </c>
      <c r="H11" s="89">
        <f>H12/H10*10</f>
        <v>3200</v>
      </c>
      <c r="I11" s="99">
        <v>1</v>
      </c>
      <c r="J11" s="99"/>
      <c r="K11" s="99"/>
      <c r="L11" s="99"/>
      <c r="M11" s="104"/>
      <c r="N11" s="108"/>
      <c r="O11" s="111" t="s">
        <v>71</v>
      </c>
    </row>
    <row r="12" spans="1:15" ht="12" customHeight="1" x14ac:dyDescent="0.2">
      <c r="A12" s="162"/>
      <c r="B12" s="67" t="s">
        <v>28</v>
      </c>
      <c r="C12" s="74" t="str">
        <f>A10&amp;B12</f>
        <v>南柑20号生産量(kg)</v>
      </c>
      <c r="D12" s="83">
        <v>9000</v>
      </c>
      <c r="E12" s="83">
        <v>8000</v>
      </c>
      <c r="F12" s="83">
        <v>9000</v>
      </c>
      <c r="G12" s="83">
        <v>14000</v>
      </c>
      <c r="H12" s="88">
        <v>16000</v>
      </c>
      <c r="I12" s="99">
        <v>1</v>
      </c>
      <c r="J12" s="99"/>
      <c r="K12" s="99"/>
      <c r="L12" s="99"/>
      <c r="M12" s="104"/>
      <c r="N12" s="108"/>
      <c r="O12" s="111" t="s">
        <v>73</v>
      </c>
    </row>
    <row r="13" spans="1:15" ht="12" customHeight="1" x14ac:dyDescent="0.2">
      <c r="A13" s="162"/>
      <c r="B13" s="67" t="s">
        <v>95</v>
      </c>
      <c r="C13" s="74" t="str">
        <f>A10&amp;B13</f>
        <v>南柑20号単価（円/ｋｇ）</v>
      </c>
      <c r="D13" s="83">
        <v>150</v>
      </c>
      <c r="E13" s="83">
        <v>150</v>
      </c>
      <c r="F13" s="83">
        <v>150</v>
      </c>
      <c r="G13" s="83">
        <v>160</v>
      </c>
      <c r="H13" s="88">
        <v>170</v>
      </c>
      <c r="I13" s="99">
        <v>1</v>
      </c>
      <c r="J13" s="99"/>
      <c r="K13" s="99"/>
      <c r="L13" s="99"/>
      <c r="M13" s="104"/>
      <c r="N13" s="108"/>
      <c r="O13" s="111" t="s">
        <v>74</v>
      </c>
    </row>
    <row r="14" spans="1:15" ht="12" customHeight="1" x14ac:dyDescent="0.2">
      <c r="A14" s="163"/>
      <c r="B14" s="68" t="s">
        <v>26</v>
      </c>
      <c r="C14" s="75" t="str">
        <f>A10&amp;B14</f>
        <v>南柑20号売上高</v>
      </c>
      <c r="D14" s="68">
        <f>D12*D13</f>
        <v>1350000</v>
      </c>
      <c r="E14" s="68">
        <f>E12*E13</f>
        <v>1200000</v>
      </c>
      <c r="F14" s="68">
        <f>F12*F13</f>
        <v>1350000</v>
      </c>
      <c r="G14" s="68">
        <f>G12*G13</f>
        <v>2240000</v>
      </c>
      <c r="H14" s="91">
        <f>H12*H13</f>
        <v>2720000</v>
      </c>
      <c r="I14" s="99">
        <v>1</v>
      </c>
      <c r="J14" s="99"/>
      <c r="K14" s="99"/>
      <c r="L14" s="99"/>
      <c r="M14" s="104"/>
      <c r="N14" s="108"/>
      <c r="O14" s="111" t="s">
        <v>75</v>
      </c>
    </row>
    <row r="15" spans="1:15" ht="12" customHeight="1" x14ac:dyDescent="0.2">
      <c r="A15" s="60" t="s">
        <v>55</v>
      </c>
      <c r="B15" s="70"/>
      <c r="C15" s="77"/>
      <c r="D15" s="21" t="s">
        <v>7</v>
      </c>
      <c r="E15" s="21" t="s">
        <v>10</v>
      </c>
      <c r="F15" s="21" t="s">
        <v>9</v>
      </c>
      <c r="G15" s="21" t="s">
        <v>15</v>
      </c>
      <c r="H15" s="92" t="s">
        <v>3</v>
      </c>
      <c r="I15" s="100"/>
      <c r="J15" s="101"/>
      <c r="K15" s="99"/>
      <c r="L15" s="99"/>
      <c r="M15" s="106"/>
      <c r="N15" s="108"/>
      <c r="O15" s="111" t="s">
        <v>76</v>
      </c>
    </row>
    <row r="16" spans="1:15" ht="12" customHeight="1" x14ac:dyDescent="0.2">
      <c r="A16" s="162" t="s">
        <v>1</v>
      </c>
      <c r="B16" s="67" t="s">
        <v>24</v>
      </c>
      <c r="C16" s="74" t="str">
        <f>A16&amp;B16</f>
        <v>普通ポンカン経営規模(a)</v>
      </c>
      <c r="D16" s="83">
        <v>20</v>
      </c>
      <c r="E16" s="83">
        <v>20</v>
      </c>
      <c r="F16" s="83">
        <v>20</v>
      </c>
      <c r="G16" s="83">
        <v>20</v>
      </c>
      <c r="H16" s="88">
        <v>20</v>
      </c>
      <c r="I16" s="99">
        <v>1</v>
      </c>
      <c r="J16" s="101"/>
      <c r="K16" s="99"/>
      <c r="L16" s="99"/>
      <c r="M16" s="104"/>
      <c r="N16" s="108"/>
      <c r="O16" s="111" t="s">
        <v>47</v>
      </c>
    </row>
    <row r="17" spans="1:15" ht="12" customHeight="1" x14ac:dyDescent="0.2">
      <c r="A17" s="162"/>
      <c r="B17" s="67" t="s">
        <v>63</v>
      </c>
      <c r="C17" s="74" t="str">
        <f>A16&amp;B17</f>
        <v>普通ポンカン反収（ｋｇ）</v>
      </c>
      <c r="D17" s="67">
        <f>D18/D16*10</f>
        <v>0</v>
      </c>
      <c r="E17" s="67">
        <f>E18/E16*10</f>
        <v>2250</v>
      </c>
      <c r="F17" s="67">
        <f>F18/F16*10</f>
        <v>2750</v>
      </c>
      <c r="G17" s="67">
        <f>G18/G16*10</f>
        <v>2500</v>
      </c>
      <c r="H17" s="89">
        <f>H18/H16*10</f>
        <v>3000</v>
      </c>
      <c r="I17" s="99">
        <v>1</v>
      </c>
      <c r="J17" s="101"/>
      <c r="K17" s="99"/>
      <c r="L17" s="99"/>
      <c r="M17" s="104"/>
      <c r="N17" s="108"/>
      <c r="O17" s="111" t="s">
        <v>77</v>
      </c>
    </row>
    <row r="18" spans="1:15" ht="12" customHeight="1" x14ac:dyDescent="0.2">
      <c r="A18" s="162"/>
      <c r="B18" s="67" t="s">
        <v>28</v>
      </c>
      <c r="C18" s="74" t="str">
        <f>A16&amp;B18</f>
        <v>普通ポンカン生産量(kg)</v>
      </c>
      <c r="D18" s="83">
        <v>0</v>
      </c>
      <c r="E18" s="83">
        <v>4500</v>
      </c>
      <c r="F18" s="83">
        <v>5500</v>
      </c>
      <c r="G18" s="83">
        <v>5000</v>
      </c>
      <c r="H18" s="88">
        <v>6000</v>
      </c>
      <c r="I18" s="99">
        <v>1</v>
      </c>
      <c r="J18" s="101"/>
      <c r="K18" s="99"/>
      <c r="L18" s="99"/>
      <c r="M18" s="105"/>
      <c r="N18" s="109"/>
      <c r="O18" s="112" t="s">
        <v>67</v>
      </c>
    </row>
    <row r="19" spans="1:15" ht="12" customHeight="1" x14ac:dyDescent="0.2">
      <c r="A19" s="162"/>
      <c r="B19" s="67" t="s">
        <v>95</v>
      </c>
      <c r="C19" s="74" t="str">
        <f>A16&amp;B19</f>
        <v>普通ポンカン単価（円/ｋｇ）</v>
      </c>
      <c r="D19" s="83">
        <v>0</v>
      </c>
      <c r="E19" s="83">
        <v>130</v>
      </c>
      <c r="F19" s="83">
        <v>130</v>
      </c>
      <c r="G19" s="83">
        <v>140</v>
      </c>
      <c r="H19" s="88">
        <v>160</v>
      </c>
      <c r="I19" s="99">
        <v>1</v>
      </c>
      <c r="J19" s="101"/>
      <c r="K19" s="99"/>
      <c r="L19" s="99"/>
      <c r="M19" s="103" t="s">
        <v>78</v>
      </c>
      <c r="N19" s="107" t="s">
        <v>79</v>
      </c>
      <c r="O19" s="110" t="s">
        <v>80</v>
      </c>
    </row>
    <row r="20" spans="1:15" ht="12" customHeight="1" x14ac:dyDescent="0.2">
      <c r="A20" s="163"/>
      <c r="B20" s="68" t="s">
        <v>26</v>
      </c>
      <c r="C20" s="75" t="str">
        <f>A16&amp;B20</f>
        <v>普通ポンカン売上高</v>
      </c>
      <c r="D20" s="68">
        <f>D18*D19</f>
        <v>0</v>
      </c>
      <c r="E20" s="68">
        <f>E18*E19</f>
        <v>585000</v>
      </c>
      <c r="F20" s="68">
        <f>F18*F19</f>
        <v>715000</v>
      </c>
      <c r="G20" s="68">
        <f>G18*G19</f>
        <v>700000</v>
      </c>
      <c r="H20" s="91">
        <f>H18*H19</f>
        <v>960000</v>
      </c>
      <c r="I20" s="99">
        <v>1</v>
      </c>
      <c r="J20" s="101"/>
      <c r="K20" s="99"/>
      <c r="L20" s="99"/>
      <c r="M20" s="104"/>
      <c r="N20" s="108"/>
      <c r="O20" s="111" t="s">
        <v>81</v>
      </c>
    </row>
    <row r="21" spans="1:15" ht="12" customHeight="1" x14ac:dyDescent="0.2">
      <c r="A21" s="59" t="s">
        <v>55</v>
      </c>
      <c r="B21" s="69"/>
      <c r="C21" s="76"/>
      <c r="D21" s="21" t="s">
        <v>7</v>
      </c>
      <c r="E21" s="21" t="s">
        <v>10</v>
      </c>
      <c r="F21" s="21" t="s">
        <v>9</v>
      </c>
      <c r="G21" s="21" t="s">
        <v>15</v>
      </c>
      <c r="H21" s="92" t="s">
        <v>3</v>
      </c>
      <c r="I21" s="100"/>
      <c r="J21" s="101"/>
      <c r="K21" s="99"/>
      <c r="L21" s="99"/>
      <c r="M21" s="104"/>
      <c r="N21" s="108"/>
      <c r="O21" s="111" t="s">
        <v>64</v>
      </c>
    </row>
    <row r="22" spans="1:15" ht="12" customHeight="1" x14ac:dyDescent="0.2">
      <c r="A22" s="162" t="s">
        <v>47</v>
      </c>
      <c r="B22" s="67" t="s">
        <v>24</v>
      </c>
      <c r="C22" s="74" t="str">
        <f>A22&amp;B22</f>
        <v>愛媛果試第28号経営規模(a)</v>
      </c>
      <c r="D22" s="83">
        <v>15</v>
      </c>
      <c r="E22" s="83">
        <v>15</v>
      </c>
      <c r="F22" s="83">
        <v>15</v>
      </c>
      <c r="G22" s="83">
        <v>20</v>
      </c>
      <c r="H22" s="88">
        <v>20</v>
      </c>
      <c r="I22" s="99">
        <v>2</v>
      </c>
      <c r="J22" s="101"/>
      <c r="K22" s="99"/>
      <c r="L22" s="99"/>
      <c r="M22" s="104"/>
      <c r="N22" s="108"/>
      <c r="O22" s="111" t="s">
        <v>82</v>
      </c>
    </row>
    <row r="23" spans="1:15" ht="12" customHeight="1" x14ac:dyDescent="0.2">
      <c r="A23" s="162"/>
      <c r="B23" s="67" t="s">
        <v>63</v>
      </c>
      <c r="C23" s="74" t="str">
        <f>A22&amp;B23</f>
        <v>愛媛果試第28号反収（ｋｇ）</v>
      </c>
      <c r="D23" s="67">
        <f>D24/D22*10</f>
        <v>0</v>
      </c>
      <c r="E23" s="67">
        <f>E24/E22*10</f>
        <v>0</v>
      </c>
      <c r="F23" s="67">
        <f>F24/F22*10</f>
        <v>0</v>
      </c>
      <c r="G23" s="67">
        <f>G24/G22*10</f>
        <v>500</v>
      </c>
      <c r="H23" s="89">
        <f>H24/H22*10</f>
        <v>1000</v>
      </c>
      <c r="I23" s="56">
        <v>2</v>
      </c>
      <c r="M23" s="105"/>
      <c r="N23" s="109"/>
      <c r="O23" s="112" t="s">
        <v>67</v>
      </c>
    </row>
    <row r="24" spans="1:15" ht="12" customHeight="1" x14ac:dyDescent="0.2">
      <c r="A24" s="162"/>
      <c r="B24" s="67" t="s">
        <v>28</v>
      </c>
      <c r="C24" s="74" t="str">
        <f>A22&amp;B24</f>
        <v>愛媛果試第28号生産量(kg)</v>
      </c>
      <c r="D24" s="83">
        <v>0</v>
      </c>
      <c r="E24" s="83">
        <v>0</v>
      </c>
      <c r="F24" s="83">
        <v>0</v>
      </c>
      <c r="G24" s="83">
        <v>1000</v>
      </c>
      <c r="H24" s="88">
        <v>2000</v>
      </c>
      <c r="I24" s="56">
        <v>2</v>
      </c>
    </row>
    <row r="25" spans="1:15" ht="12" customHeight="1" x14ac:dyDescent="0.2">
      <c r="A25" s="162"/>
      <c r="B25" s="67" t="s">
        <v>95</v>
      </c>
      <c r="C25" s="74" t="str">
        <f>A22&amp;B25</f>
        <v>愛媛果試第28号単価（円/ｋｇ）</v>
      </c>
      <c r="D25" s="83">
        <v>0</v>
      </c>
      <c r="E25" s="83">
        <v>0</v>
      </c>
      <c r="F25" s="83">
        <v>0</v>
      </c>
      <c r="G25" s="83">
        <v>400</v>
      </c>
      <c r="H25" s="88">
        <v>450</v>
      </c>
      <c r="I25" s="56">
        <v>2</v>
      </c>
    </row>
    <row r="26" spans="1:15" ht="12" customHeight="1" x14ac:dyDescent="0.2">
      <c r="A26" s="163"/>
      <c r="B26" s="68" t="s">
        <v>26</v>
      </c>
      <c r="C26" s="75" t="str">
        <f>A22&amp;B26</f>
        <v>愛媛果試第28号売上高</v>
      </c>
      <c r="D26" s="68">
        <f>D24*D25</f>
        <v>0</v>
      </c>
      <c r="E26" s="68">
        <f>E24*E25</f>
        <v>0</v>
      </c>
      <c r="F26" s="68">
        <f>F24*F25</f>
        <v>0</v>
      </c>
      <c r="G26" s="68">
        <f>G24*G25</f>
        <v>400000</v>
      </c>
      <c r="H26" s="91">
        <f>H24*H25</f>
        <v>900000</v>
      </c>
      <c r="I26" s="56">
        <v>2</v>
      </c>
    </row>
    <row r="27" spans="1:15" ht="12" customHeight="1" x14ac:dyDescent="0.2">
      <c r="A27" s="60" t="s">
        <v>55</v>
      </c>
      <c r="B27" s="70"/>
      <c r="C27" s="77"/>
      <c r="D27" s="21" t="s">
        <v>7</v>
      </c>
      <c r="E27" s="21" t="s">
        <v>10</v>
      </c>
      <c r="F27" s="21" t="s">
        <v>9</v>
      </c>
      <c r="G27" s="21" t="s">
        <v>15</v>
      </c>
      <c r="H27" s="92" t="s">
        <v>3</v>
      </c>
      <c r="I27" s="100"/>
    </row>
    <row r="28" spans="1:15" ht="12" customHeight="1" x14ac:dyDescent="0.2">
      <c r="A28" s="162" t="s">
        <v>70</v>
      </c>
      <c r="B28" s="67" t="s">
        <v>24</v>
      </c>
      <c r="C28" s="74" t="str">
        <f>A28&amp;B28</f>
        <v>河内晩柑経営規模(a)</v>
      </c>
      <c r="D28" s="83">
        <v>20</v>
      </c>
      <c r="E28" s="83">
        <v>20</v>
      </c>
      <c r="F28" s="83">
        <v>20</v>
      </c>
      <c r="G28" s="83">
        <v>15</v>
      </c>
      <c r="H28" s="88">
        <v>15</v>
      </c>
      <c r="I28" s="99">
        <v>2</v>
      </c>
    </row>
    <row r="29" spans="1:15" ht="12" customHeight="1" x14ac:dyDescent="0.2">
      <c r="A29" s="162"/>
      <c r="B29" s="67" t="s">
        <v>63</v>
      </c>
      <c r="C29" s="74" t="str">
        <f>A28&amp;B29</f>
        <v>河内晩柑反収（ｋｇ）</v>
      </c>
      <c r="D29" s="67">
        <f>D30/D28*10</f>
        <v>0</v>
      </c>
      <c r="E29" s="67">
        <f>E30/E28*10</f>
        <v>4000</v>
      </c>
      <c r="F29" s="67">
        <f>F30/F28*10</f>
        <v>4500</v>
      </c>
      <c r="G29" s="67">
        <f>G30/G28*10</f>
        <v>4000</v>
      </c>
      <c r="H29" s="89">
        <f>H30/H28*10</f>
        <v>5000</v>
      </c>
      <c r="I29" s="56">
        <v>2</v>
      </c>
    </row>
    <row r="30" spans="1:15" ht="12" customHeight="1" x14ac:dyDescent="0.2">
      <c r="A30" s="162"/>
      <c r="B30" s="67" t="s">
        <v>28</v>
      </c>
      <c r="C30" s="74" t="str">
        <f>A28&amp;B30</f>
        <v>河内晩柑生産量(kg)</v>
      </c>
      <c r="D30" s="83">
        <v>0</v>
      </c>
      <c r="E30" s="83">
        <v>8000</v>
      </c>
      <c r="F30" s="83">
        <v>9000</v>
      </c>
      <c r="G30" s="83">
        <v>6000</v>
      </c>
      <c r="H30" s="88">
        <v>7500</v>
      </c>
      <c r="I30" s="56">
        <v>2</v>
      </c>
    </row>
    <row r="31" spans="1:15" ht="12" customHeight="1" x14ac:dyDescent="0.2">
      <c r="A31" s="162"/>
      <c r="B31" s="67" t="s">
        <v>95</v>
      </c>
      <c r="C31" s="74" t="str">
        <f>A28&amp;B31</f>
        <v>河内晩柑単価（円/ｋｇ）</v>
      </c>
      <c r="D31" s="83">
        <v>0</v>
      </c>
      <c r="E31" s="83">
        <v>100</v>
      </c>
      <c r="F31" s="83">
        <v>100</v>
      </c>
      <c r="G31" s="83">
        <v>110</v>
      </c>
      <c r="H31" s="88">
        <v>110</v>
      </c>
      <c r="I31" s="56">
        <v>2</v>
      </c>
    </row>
    <row r="32" spans="1:15" ht="12" customHeight="1" x14ac:dyDescent="0.2">
      <c r="A32" s="163"/>
      <c r="B32" s="68" t="s">
        <v>26</v>
      </c>
      <c r="C32" s="75" t="str">
        <f>A28&amp;B32</f>
        <v>河内晩柑売上高</v>
      </c>
      <c r="D32" s="68">
        <f>D30*D31</f>
        <v>0</v>
      </c>
      <c r="E32" s="68">
        <f>E30*E31</f>
        <v>800000</v>
      </c>
      <c r="F32" s="68">
        <f>F30*F31</f>
        <v>900000</v>
      </c>
      <c r="G32" s="68">
        <f>G30*G31</f>
        <v>660000</v>
      </c>
      <c r="H32" s="91">
        <f>H30*H31</f>
        <v>825000</v>
      </c>
      <c r="I32" s="56">
        <v>2</v>
      </c>
    </row>
    <row r="33" spans="1:9" ht="12" customHeight="1" x14ac:dyDescent="0.2">
      <c r="A33" s="59" t="s">
        <v>55</v>
      </c>
      <c r="B33" s="69"/>
      <c r="C33" s="76"/>
      <c r="D33" s="21" t="s">
        <v>7</v>
      </c>
      <c r="E33" s="21" t="s">
        <v>10</v>
      </c>
      <c r="F33" s="21" t="s">
        <v>9</v>
      </c>
      <c r="G33" s="21" t="s">
        <v>15</v>
      </c>
      <c r="H33" s="92" t="s">
        <v>3</v>
      </c>
      <c r="I33" s="100"/>
    </row>
    <row r="34" spans="1:9" ht="12" customHeight="1" x14ac:dyDescent="0.2">
      <c r="A34" s="162" t="s">
        <v>80</v>
      </c>
      <c r="B34" s="67" t="s">
        <v>24</v>
      </c>
      <c r="C34" s="74" t="str">
        <f>A34&amp;B34</f>
        <v>ゆず経営規模(a)</v>
      </c>
      <c r="D34" s="83">
        <v>10</v>
      </c>
      <c r="E34" s="83">
        <v>10</v>
      </c>
      <c r="F34" s="83">
        <v>10</v>
      </c>
      <c r="G34" s="83">
        <v>10</v>
      </c>
      <c r="H34" s="88">
        <v>10</v>
      </c>
      <c r="I34" s="99">
        <v>3</v>
      </c>
    </row>
    <row r="35" spans="1:9" ht="12" customHeight="1" x14ac:dyDescent="0.2">
      <c r="A35" s="162"/>
      <c r="B35" s="67" t="s">
        <v>63</v>
      </c>
      <c r="C35" s="74" t="str">
        <f>A34&amp;B35</f>
        <v>ゆず反収（ｋｇ）</v>
      </c>
      <c r="D35" s="67">
        <f>D36/D34*10</f>
        <v>0</v>
      </c>
      <c r="E35" s="67">
        <f>E36/E34*10</f>
        <v>0</v>
      </c>
      <c r="F35" s="67">
        <f>F36/F34*10</f>
        <v>0</v>
      </c>
      <c r="G35" s="67">
        <f>G36/G34*10</f>
        <v>0</v>
      </c>
      <c r="H35" s="89">
        <f>H36/H34*10</f>
        <v>100</v>
      </c>
      <c r="I35" s="56">
        <v>3</v>
      </c>
    </row>
    <row r="36" spans="1:9" ht="12" customHeight="1" x14ac:dyDescent="0.2">
      <c r="A36" s="162"/>
      <c r="B36" s="67" t="s">
        <v>28</v>
      </c>
      <c r="C36" s="74" t="str">
        <f>A34&amp;B36</f>
        <v>ゆず生産量(kg)</v>
      </c>
      <c r="D36" s="83">
        <v>0</v>
      </c>
      <c r="E36" s="83">
        <v>0</v>
      </c>
      <c r="F36" s="83">
        <v>0</v>
      </c>
      <c r="G36" s="83">
        <v>0</v>
      </c>
      <c r="H36" s="88">
        <v>100</v>
      </c>
      <c r="I36" s="56">
        <v>3</v>
      </c>
    </row>
    <row r="37" spans="1:9" ht="12" customHeight="1" x14ac:dyDescent="0.2">
      <c r="A37" s="162"/>
      <c r="B37" s="67" t="s">
        <v>95</v>
      </c>
      <c r="C37" s="74" t="str">
        <f>A34&amp;B37</f>
        <v>ゆず単価（円/ｋｇ）</v>
      </c>
      <c r="D37" s="83">
        <v>0</v>
      </c>
      <c r="E37" s="83">
        <v>0</v>
      </c>
      <c r="F37" s="83">
        <v>0</v>
      </c>
      <c r="G37" s="83">
        <v>0</v>
      </c>
      <c r="H37" s="88">
        <v>90</v>
      </c>
      <c r="I37" s="56">
        <v>3</v>
      </c>
    </row>
    <row r="38" spans="1:9" ht="12" customHeight="1" x14ac:dyDescent="0.2">
      <c r="A38" s="163"/>
      <c r="B38" s="68" t="s">
        <v>26</v>
      </c>
      <c r="C38" s="75" t="str">
        <f>A34&amp;B38</f>
        <v>ゆず売上高</v>
      </c>
      <c r="D38" s="68">
        <f>D36*D37</f>
        <v>0</v>
      </c>
      <c r="E38" s="68">
        <f>E36*E37</f>
        <v>0</v>
      </c>
      <c r="F38" s="68">
        <f>F36*F37</f>
        <v>0</v>
      </c>
      <c r="G38" s="68">
        <f>G36*G37</f>
        <v>0</v>
      </c>
      <c r="H38" s="91">
        <f>H36*H37</f>
        <v>9000</v>
      </c>
      <c r="I38" s="56">
        <v>3</v>
      </c>
    </row>
    <row r="39" spans="1:9" ht="12" hidden="1" customHeight="1" x14ac:dyDescent="0.2">
      <c r="A39" s="60" t="s">
        <v>55</v>
      </c>
      <c r="B39" s="70"/>
      <c r="C39" s="77"/>
      <c r="D39" s="21" t="s">
        <v>7</v>
      </c>
      <c r="E39" s="21" t="s">
        <v>10</v>
      </c>
      <c r="F39" s="21" t="s">
        <v>9</v>
      </c>
      <c r="G39" s="21" t="s">
        <v>15</v>
      </c>
      <c r="H39" s="92" t="s">
        <v>3</v>
      </c>
      <c r="I39" s="100"/>
    </row>
    <row r="40" spans="1:9" ht="12" hidden="1" customHeight="1" x14ac:dyDescent="0.2">
      <c r="A40" s="162">
        <v>7</v>
      </c>
      <c r="B40" s="67" t="s">
        <v>24</v>
      </c>
      <c r="C40" s="74" t="str">
        <f>A40&amp;B40</f>
        <v>7経営規模(a)</v>
      </c>
      <c r="D40" s="83"/>
      <c r="E40" s="83"/>
      <c r="F40" s="83"/>
      <c r="G40" s="83"/>
      <c r="H40" s="88"/>
      <c r="I40" s="99"/>
    </row>
    <row r="41" spans="1:9" ht="12" hidden="1" customHeight="1" x14ac:dyDescent="0.2">
      <c r="A41" s="162"/>
      <c r="B41" s="67" t="s">
        <v>63</v>
      </c>
      <c r="C41" s="74" t="str">
        <f>A40&amp;B41</f>
        <v>7反収（ｋｇ）</v>
      </c>
      <c r="D41" s="67" t="e">
        <f>D42/D40*10</f>
        <v>#DIV/0!</v>
      </c>
      <c r="E41" s="67" t="e">
        <f>E42/E40*10</f>
        <v>#DIV/0!</v>
      </c>
      <c r="F41" s="67" t="e">
        <f>F42/F40*10</f>
        <v>#DIV/0!</v>
      </c>
      <c r="G41" s="67" t="e">
        <f>G42/G40*10</f>
        <v>#DIV/0!</v>
      </c>
      <c r="H41" s="89" t="e">
        <f>H42/H40*10</f>
        <v>#DIV/0!</v>
      </c>
    </row>
    <row r="42" spans="1:9" ht="12" hidden="1" customHeight="1" x14ac:dyDescent="0.2">
      <c r="A42" s="162"/>
      <c r="B42" s="67" t="s">
        <v>28</v>
      </c>
      <c r="C42" s="74" t="str">
        <f>A40&amp;B42</f>
        <v>7生産量(kg)</v>
      </c>
      <c r="D42" s="83"/>
      <c r="E42" s="83"/>
      <c r="F42" s="83"/>
      <c r="G42" s="83"/>
      <c r="H42" s="88"/>
    </row>
    <row r="43" spans="1:9" ht="12" hidden="1" customHeight="1" x14ac:dyDescent="0.2">
      <c r="A43" s="162"/>
      <c r="B43" s="67" t="s">
        <v>95</v>
      </c>
      <c r="C43" s="74" t="str">
        <f>A40&amp;B43</f>
        <v>7単価（円/ｋｇ）</v>
      </c>
      <c r="D43" s="83"/>
      <c r="E43" s="83"/>
      <c r="F43" s="83"/>
      <c r="G43" s="83"/>
      <c r="H43" s="88"/>
    </row>
    <row r="44" spans="1:9" ht="12" hidden="1" customHeight="1" x14ac:dyDescent="0.2">
      <c r="A44" s="163"/>
      <c r="B44" s="68" t="s">
        <v>26</v>
      </c>
      <c r="C44" s="75" t="str">
        <f>A40&amp;B44</f>
        <v>7売上高</v>
      </c>
      <c r="D44" s="68">
        <f>D42*D43</f>
        <v>0</v>
      </c>
      <c r="E44" s="68">
        <f>E42*E43</f>
        <v>0</v>
      </c>
      <c r="F44" s="68">
        <f>F42*F43</f>
        <v>0</v>
      </c>
      <c r="G44" s="68">
        <f>G42*G43</f>
        <v>0</v>
      </c>
      <c r="H44" s="91">
        <f>H42*H43</f>
        <v>0</v>
      </c>
    </row>
    <row r="45" spans="1:9" ht="12" hidden="1" customHeight="1" x14ac:dyDescent="0.2">
      <c r="A45" s="59" t="s">
        <v>55</v>
      </c>
      <c r="B45" s="69"/>
      <c r="C45" s="76"/>
      <c r="D45" s="21" t="s">
        <v>7</v>
      </c>
      <c r="E45" s="21" t="s">
        <v>10</v>
      </c>
      <c r="F45" s="21" t="s">
        <v>9</v>
      </c>
      <c r="G45" s="21" t="s">
        <v>15</v>
      </c>
      <c r="H45" s="92" t="s">
        <v>3</v>
      </c>
      <c r="I45" s="100"/>
    </row>
    <row r="46" spans="1:9" ht="12" hidden="1" customHeight="1" x14ac:dyDescent="0.2">
      <c r="A46" s="162">
        <v>8</v>
      </c>
      <c r="B46" s="67" t="s">
        <v>24</v>
      </c>
      <c r="C46" s="74" t="str">
        <f>A46&amp;B46</f>
        <v>8経営規模(a)</v>
      </c>
      <c r="D46" s="83"/>
      <c r="E46" s="83"/>
      <c r="F46" s="83"/>
      <c r="G46" s="83"/>
      <c r="H46" s="88"/>
    </row>
    <row r="47" spans="1:9" ht="12" hidden="1" customHeight="1" x14ac:dyDescent="0.2">
      <c r="A47" s="162"/>
      <c r="B47" s="67" t="s">
        <v>63</v>
      </c>
      <c r="C47" s="74" t="str">
        <f>A46&amp;B47</f>
        <v>8反収（ｋｇ）</v>
      </c>
      <c r="D47" s="67" t="e">
        <f>D48/D46*10</f>
        <v>#DIV/0!</v>
      </c>
      <c r="E47" s="67" t="e">
        <f>E48/E46*10</f>
        <v>#DIV/0!</v>
      </c>
      <c r="F47" s="67" t="e">
        <f>F48/F46*10</f>
        <v>#DIV/0!</v>
      </c>
      <c r="G47" s="67" t="e">
        <f>G48/G46*10</f>
        <v>#DIV/0!</v>
      </c>
      <c r="H47" s="89" t="e">
        <f>H48/H46*10</f>
        <v>#DIV/0!</v>
      </c>
    </row>
    <row r="48" spans="1:9" ht="12" hidden="1" customHeight="1" x14ac:dyDescent="0.2">
      <c r="A48" s="162"/>
      <c r="B48" s="67" t="s">
        <v>28</v>
      </c>
      <c r="C48" s="74" t="str">
        <f>A46&amp;B48</f>
        <v>8生産量(kg)</v>
      </c>
      <c r="D48" s="83"/>
      <c r="E48" s="83"/>
      <c r="F48" s="83"/>
      <c r="G48" s="83"/>
      <c r="H48" s="88"/>
    </row>
    <row r="49" spans="1:9" ht="12" hidden="1" customHeight="1" x14ac:dyDescent="0.2">
      <c r="A49" s="162"/>
      <c r="B49" s="67" t="s">
        <v>95</v>
      </c>
      <c r="C49" s="74" t="str">
        <f>A46&amp;B49</f>
        <v>8単価（円/ｋｇ）</v>
      </c>
      <c r="D49" s="83"/>
      <c r="E49" s="83"/>
      <c r="F49" s="83"/>
      <c r="G49" s="83"/>
      <c r="H49" s="88"/>
    </row>
    <row r="50" spans="1:9" ht="12" hidden="1" customHeight="1" x14ac:dyDescent="0.2">
      <c r="A50" s="163"/>
      <c r="B50" s="68" t="s">
        <v>26</v>
      </c>
      <c r="C50" s="75" t="str">
        <f>A46&amp;B50</f>
        <v>8売上高</v>
      </c>
      <c r="D50" s="68">
        <f>D48*D49</f>
        <v>0</v>
      </c>
      <c r="E50" s="68">
        <f>E48*E49</f>
        <v>0</v>
      </c>
      <c r="F50" s="68">
        <f>F48*F49</f>
        <v>0</v>
      </c>
      <c r="G50" s="68">
        <f>G48*G49</f>
        <v>0</v>
      </c>
      <c r="H50" s="91">
        <f>H48*H49</f>
        <v>0</v>
      </c>
    </row>
    <row r="51" spans="1:9" ht="12" hidden="1" customHeight="1" x14ac:dyDescent="0.2">
      <c r="A51" s="60" t="s">
        <v>55</v>
      </c>
      <c r="B51" s="70"/>
      <c r="C51" s="77"/>
      <c r="D51" s="21" t="s">
        <v>7</v>
      </c>
      <c r="E51" s="21" t="s">
        <v>10</v>
      </c>
      <c r="F51" s="21" t="s">
        <v>9</v>
      </c>
      <c r="G51" s="21" t="s">
        <v>15</v>
      </c>
      <c r="H51" s="92" t="s">
        <v>3</v>
      </c>
      <c r="I51" s="100"/>
    </row>
    <row r="52" spans="1:9" ht="12" hidden="1" customHeight="1" x14ac:dyDescent="0.2">
      <c r="A52" s="162">
        <v>9</v>
      </c>
      <c r="B52" s="67" t="s">
        <v>24</v>
      </c>
      <c r="C52" s="74" t="str">
        <f>A52&amp;B52</f>
        <v>9経営規模(a)</v>
      </c>
      <c r="D52" s="83">
        <v>0</v>
      </c>
      <c r="E52" s="83">
        <v>0</v>
      </c>
      <c r="F52" s="83">
        <v>0</v>
      </c>
      <c r="G52" s="83">
        <v>0</v>
      </c>
      <c r="H52" s="88">
        <v>0</v>
      </c>
    </row>
    <row r="53" spans="1:9" ht="12" hidden="1" customHeight="1" x14ac:dyDescent="0.2">
      <c r="A53" s="162"/>
      <c r="B53" s="67" t="s">
        <v>63</v>
      </c>
      <c r="C53" s="74" t="str">
        <f>A52&amp;B53</f>
        <v>9反収（ｋｇ）</v>
      </c>
      <c r="D53" s="67" t="e">
        <f>D54/D52*10</f>
        <v>#DIV/0!</v>
      </c>
      <c r="E53" s="67" t="e">
        <f>E54/E52*10</f>
        <v>#DIV/0!</v>
      </c>
      <c r="F53" s="67" t="e">
        <f>F54/F52*10</f>
        <v>#DIV/0!</v>
      </c>
      <c r="G53" s="67" t="e">
        <f>G54/G52*10</f>
        <v>#DIV/0!</v>
      </c>
      <c r="H53" s="89" t="e">
        <f>H54/H52*10</f>
        <v>#DIV/0!</v>
      </c>
    </row>
    <row r="54" spans="1:9" ht="12" hidden="1" customHeight="1" x14ac:dyDescent="0.2">
      <c r="A54" s="162"/>
      <c r="B54" s="67" t="s">
        <v>28</v>
      </c>
      <c r="C54" s="74" t="str">
        <f>A52&amp;B54</f>
        <v>9生産量(kg)</v>
      </c>
      <c r="D54" s="83">
        <v>0</v>
      </c>
      <c r="E54" s="83">
        <v>0</v>
      </c>
      <c r="F54" s="83">
        <v>0</v>
      </c>
      <c r="G54" s="83">
        <v>0</v>
      </c>
      <c r="H54" s="88">
        <v>0</v>
      </c>
    </row>
    <row r="55" spans="1:9" ht="12" hidden="1" customHeight="1" x14ac:dyDescent="0.2">
      <c r="A55" s="162"/>
      <c r="B55" s="67" t="s">
        <v>95</v>
      </c>
      <c r="C55" s="74" t="str">
        <f>A52&amp;B55</f>
        <v>9単価（円/ｋｇ）</v>
      </c>
      <c r="D55" s="83">
        <v>0</v>
      </c>
      <c r="E55" s="83">
        <v>0</v>
      </c>
      <c r="F55" s="83">
        <v>0</v>
      </c>
      <c r="G55" s="83">
        <v>0</v>
      </c>
      <c r="H55" s="88">
        <v>0</v>
      </c>
    </row>
    <row r="56" spans="1:9" ht="12" hidden="1" customHeight="1" x14ac:dyDescent="0.2">
      <c r="A56" s="163"/>
      <c r="B56" s="68" t="s">
        <v>26</v>
      </c>
      <c r="C56" s="75" t="str">
        <f>A52&amp;B56</f>
        <v>9売上高</v>
      </c>
      <c r="D56" s="68">
        <f>D54*D55</f>
        <v>0</v>
      </c>
      <c r="E56" s="68">
        <f>E54*E55</f>
        <v>0</v>
      </c>
      <c r="F56" s="68">
        <f>F54*F55</f>
        <v>0</v>
      </c>
      <c r="G56" s="68">
        <f>G54*G55</f>
        <v>0</v>
      </c>
      <c r="H56" s="91">
        <f>H54*H55</f>
        <v>0</v>
      </c>
    </row>
    <row r="57" spans="1:9" ht="12" hidden="1" customHeight="1" x14ac:dyDescent="0.2">
      <c r="A57" s="59" t="s">
        <v>55</v>
      </c>
      <c r="B57" s="69"/>
      <c r="C57" s="76"/>
      <c r="D57" s="21" t="s">
        <v>7</v>
      </c>
      <c r="E57" s="21" t="s">
        <v>10</v>
      </c>
      <c r="F57" s="21" t="s">
        <v>9</v>
      </c>
      <c r="G57" s="21" t="s">
        <v>15</v>
      </c>
      <c r="H57" s="92" t="s">
        <v>3</v>
      </c>
      <c r="I57" s="100"/>
    </row>
    <row r="58" spans="1:9" ht="12" hidden="1" customHeight="1" x14ac:dyDescent="0.2">
      <c r="A58" s="165">
        <v>10</v>
      </c>
      <c r="B58" s="67" t="s">
        <v>24</v>
      </c>
      <c r="C58" s="74" t="str">
        <f>A58&amp;B58</f>
        <v>10経営規模(a)</v>
      </c>
      <c r="D58" s="83">
        <v>0</v>
      </c>
      <c r="E58" s="83">
        <v>0</v>
      </c>
      <c r="F58" s="83">
        <v>0</v>
      </c>
      <c r="G58" s="83">
        <v>0</v>
      </c>
      <c r="H58" s="88">
        <v>0</v>
      </c>
    </row>
    <row r="59" spans="1:9" ht="12" hidden="1" customHeight="1" x14ac:dyDescent="0.2">
      <c r="A59" s="166"/>
      <c r="B59" s="67" t="s">
        <v>63</v>
      </c>
      <c r="C59" s="74" t="str">
        <f>A58&amp;B59</f>
        <v>10反収（ｋｇ）</v>
      </c>
      <c r="D59" s="67" t="e">
        <f>D60/D58*10</f>
        <v>#DIV/0!</v>
      </c>
      <c r="E59" s="67" t="e">
        <f>E60/E58*10</f>
        <v>#DIV/0!</v>
      </c>
      <c r="F59" s="67" t="e">
        <f>F60/F58*10</f>
        <v>#DIV/0!</v>
      </c>
      <c r="G59" s="67" t="e">
        <f>G60/G58*10</f>
        <v>#DIV/0!</v>
      </c>
      <c r="H59" s="89" t="e">
        <f>H60/H58*10</f>
        <v>#DIV/0!</v>
      </c>
    </row>
    <row r="60" spans="1:9" ht="12" hidden="1" customHeight="1" x14ac:dyDescent="0.2">
      <c r="A60" s="166"/>
      <c r="B60" s="67" t="s">
        <v>28</v>
      </c>
      <c r="C60" s="74" t="str">
        <f>A58&amp;B60</f>
        <v>10生産量(kg)</v>
      </c>
      <c r="D60" s="83">
        <v>0</v>
      </c>
      <c r="E60" s="83">
        <v>0</v>
      </c>
      <c r="F60" s="83">
        <v>0</v>
      </c>
      <c r="G60" s="83">
        <v>0</v>
      </c>
      <c r="H60" s="88">
        <v>0</v>
      </c>
    </row>
    <row r="61" spans="1:9" ht="12" hidden="1" customHeight="1" x14ac:dyDescent="0.2">
      <c r="A61" s="166"/>
      <c r="B61" s="67" t="s">
        <v>95</v>
      </c>
      <c r="C61" s="74" t="str">
        <f>A58&amp;B61</f>
        <v>10単価（円/ｋｇ）</v>
      </c>
      <c r="D61" s="83">
        <v>0</v>
      </c>
      <c r="E61" s="83">
        <v>0</v>
      </c>
      <c r="F61" s="83">
        <v>0</v>
      </c>
      <c r="G61" s="83">
        <v>0</v>
      </c>
      <c r="H61" s="88">
        <v>0</v>
      </c>
    </row>
    <row r="62" spans="1:9" ht="12" hidden="1" customHeight="1" x14ac:dyDescent="0.2">
      <c r="A62" s="167"/>
      <c r="B62" s="68" t="s">
        <v>26</v>
      </c>
      <c r="C62" s="75" t="str">
        <f>A58&amp;B62</f>
        <v>10売上高</v>
      </c>
      <c r="D62" s="68">
        <f>D60*D61</f>
        <v>0</v>
      </c>
      <c r="E62" s="68">
        <f>E60*E61</f>
        <v>0</v>
      </c>
      <c r="F62" s="68">
        <f>F60*F61</f>
        <v>0</v>
      </c>
      <c r="G62" s="68">
        <f>G60*G61</f>
        <v>0</v>
      </c>
      <c r="H62" s="91">
        <f>H60*H61</f>
        <v>0</v>
      </c>
    </row>
    <row r="63" spans="1:9" ht="12" hidden="1" customHeight="1" x14ac:dyDescent="0.2">
      <c r="A63" s="61" t="s">
        <v>55</v>
      </c>
      <c r="B63" s="69"/>
      <c r="C63" s="78"/>
      <c r="D63" s="21" t="s">
        <v>7</v>
      </c>
      <c r="E63" s="21" t="s">
        <v>10</v>
      </c>
      <c r="F63" s="21" t="s">
        <v>9</v>
      </c>
      <c r="G63" s="21" t="s">
        <v>15</v>
      </c>
      <c r="H63" s="92" t="s">
        <v>3</v>
      </c>
      <c r="I63" s="100"/>
    </row>
    <row r="64" spans="1:9" ht="12" hidden="1" customHeight="1" x14ac:dyDescent="0.2">
      <c r="A64" s="165">
        <v>11</v>
      </c>
      <c r="B64" s="67" t="s">
        <v>24</v>
      </c>
      <c r="C64" s="74" t="str">
        <f>A64&amp;B64</f>
        <v>11経営規模(a)</v>
      </c>
      <c r="D64" s="83">
        <v>0</v>
      </c>
      <c r="E64" s="83">
        <v>0</v>
      </c>
      <c r="F64" s="83">
        <v>0</v>
      </c>
      <c r="G64" s="83">
        <v>0</v>
      </c>
      <c r="H64" s="88">
        <v>0</v>
      </c>
    </row>
    <row r="65" spans="1:9" ht="12" hidden="1" customHeight="1" x14ac:dyDescent="0.2">
      <c r="A65" s="166"/>
      <c r="B65" s="67" t="s">
        <v>63</v>
      </c>
      <c r="C65" s="74" t="str">
        <f>A64&amp;B65</f>
        <v>11反収（ｋｇ）</v>
      </c>
      <c r="D65" s="67" t="e">
        <f>D66/D64*10</f>
        <v>#DIV/0!</v>
      </c>
      <c r="E65" s="67" t="e">
        <f>E66/E64*10</f>
        <v>#DIV/0!</v>
      </c>
      <c r="F65" s="67" t="e">
        <f>F66/F64*10</f>
        <v>#DIV/0!</v>
      </c>
      <c r="G65" s="67" t="e">
        <f>G66/G64*10</f>
        <v>#DIV/0!</v>
      </c>
      <c r="H65" s="89" t="e">
        <f>H66/H64*10</f>
        <v>#DIV/0!</v>
      </c>
    </row>
    <row r="66" spans="1:9" ht="12" hidden="1" customHeight="1" x14ac:dyDescent="0.2">
      <c r="A66" s="166"/>
      <c r="B66" s="67" t="s">
        <v>28</v>
      </c>
      <c r="C66" s="74" t="str">
        <f>A64&amp;B66</f>
        <v>11生産量(kg)</v>
      </c>
      <c r="D66" s="83">
        <v>0</v>
      </c>
      <c r="E66" s="83">
        <v>0</v>
      </c>
      <c r="F66" s="83">
        <v>0</v>
      </c>
      <c r="G66" s="83">
        <v>0</v>
      </c>
      <c r="H66" s="88">
        <v>0</v>
      </c>
    </row>
    <row r="67" spans="1:9" ht="12" hidden="1" customHeight="1" x14ac:dyDescent="0.2">
      <c r="A67" s="166"/>
      <c r="B67" s="67" t="s">
        <v>95</v>
      </c>
      <c r="C67" s="74" t="str">
        <f>A64&amp;B67</f>
        <v>11単価（円/ｋｇ）</v>
      </c>
      <c r="D67" s="83">
        <v>0</v>
      </c>
      <c r="E67" s="83">
        <v>0</v>
      </c>
      <c r="F67" s="83">
        <v>0</v>
      </c>
      <c r="G67" s="83">
        <v>0</v>
      </c>
      <c r="H67" s="88">
        <v>0</v>
      </c>
    </row>
    <row r="68" spans="1:9" ht="12" hidden="1" customHeight="1" x14ac:dyDescent="0.2">
      <c r="A68" s="167"/>
      <c r="B68" s="68" t="s">
        <v>26</v>
      </c>
      <c r="C68" s="75" t="str">
        <f>A64&amp;B68</f>
        <v>11売上高</v>
      </c>
      <c r="D68" s="68">
        <f>D66*D67</f>
        <v>0</v>
      </c>
      <c r="E68" s="68">
        <f>E66*E67</f>
        <v>0</v>
      </c>
      <c r="F68" s="68">
        <f>F66*F67</f>
        <v>0</v>
      </c>
      <c r="G68" s="68">
        <f>G66*G67</f>
        <v>0</v>
      </c>
      <c r="H68" s="91">
        <f>H66*H67</f>
        <v>0</v>
      </c>
    </row>
    <row r="69" spans="1:9" ht="12" hidden="1" customHeight="1" x14ac:dyDescent="0.2">
      <c r="A69" s="61" t="s">
        <v>55</v>
      </c>
      <c r="B69" s="69"/>
      <c r="C69" s="78"/>
      <c r="D69" s="21" t="s">
        <v>7</v>
      </c>
      <c r="E69" s="21" t="s">
        <v>10</v>
      </c>
      <c r="F69" s="21" t="s">
        <v>9</v>
      </c>
      <c r="G69" s="21" t="s">
        <v>15</v>
      </c>
      <c r="H69" s="92" t="s">
        <v>3</v>
      </c>
      <c r="I69" s="100"/>
    </row>
    <row r="70" spans="1:9" ht="12" hidden="1" customHeight="1" x14ac:dyDescent="0.2">
      <c r="A70" s="165">
        <v>12</v>
      </c>
      <c r="B70" s="67" t="s">
        <v>24</v>
      </c>
      <c r="C70" s="74" t="str">
        <f>A70&amp;B70</f>
        <v>12経営規模(a)</v>
      </c>
      <c r="D70" s="83">
        <v>0</v>
      </c>
      <c r="E70" s="83">
        <v>0</v>
      </c>
      <c r="F70" s="83">
        <v>0</v>
      </c>
      <c r="G70" s="83">
        <v>0</v>
      </c>
      <c r="H70" s="88">
        <v>0</v>
      </c>
    </row>
    <row r="71" spans="1:9" ht="12" hidden="1" customHeight="1" x14ac:dyDescent="0.2">
      <c r="A71" s="166"/>
      <c r="B71" s="67" t="s">
        <v>63</v>
      </c>
      <c r="C71" s="74" t="str">
        <f>A70&amp;B71</f>
        <v>12反収（ｋｇ）</v>
      </c>
      <c r="D71" s="67" t="e">
        <f>D72/D70*10</f>
        <v>#DIV/0!</v>
      </c>
      <c r="E71" s="67" t="e">
        <f>E72/E70*10</f>
        <v>#DIV/0!</v>
      </c>
      <c r="F71" s="67" t="e">
        <f>F72/F70*10</f>
        <v>#DIV/0!</v>
      </c>
      <c r="G71" s="67" t="e">
        <f>G72/G70*10</f>
        <v>#DIV/0!</v>
      </c>
      <c r="H71" s="89" t="e">
        <f>H72/H70*10</f>
        <v>#DIV/0!</v>
      </c>
    </row>
    <row r="72" spans="1:9" ht="12" hidden="1" customHeight="1" x14ac:dyDescent="0.2">
      <c r="A72" s="166"/>
      <c r="B72" s="67" t="s">
        <v>28</v>
      </c>
      <c r="C72" s="74" t="str">
        <f>A70&amp;B72</f>
        <v>12生産量(kg)</v>
      </c>
      <c r="D72" s="83">
        <v>0</v>
      </c>
      <c r="E72" s="83">
        <v>0</v>
      </c>
      <c r="F72" s="83">
        <v>0</v>
      </c>
      <c r="G72" s="83">
        <v>0</v>
      </c>
      <c r="H72" s="88">
        <v>0</v>
      </c>
    </row>
    <row r="73" spans="1:9" ht="12" hidden="1" customHeight="1" x14ac:dyDescent="0.2">
      <c r="A73" s="166"/>
      <c r="B73" s="67" t="s">
        <v>95</v>
      </c>
      <c r="C73" s="74" t="str">
        <f>A70&amp;B73</f>
        <v>12単価（円/ｋｇ）</v>
      </c>
      <c r="D73" s="83">
        <v>0</v>
      </c>
      <c r="E73" s="83">
        <v>0</v>
      </c>
      <c r="F73" s="83">
        <v>0</v>
      </c>
      <c r="G73" s="83">
        <v>0</v>
      </c>
      <c r="H73" s="88">
        <v>0</v>
      </c>
    </row>
    <row r="74" spans="1:9" ht="12" hidden="1" customHeight="1" x14ac:dyDescent="0.2">
      <c r="A74" s="167"/>
      <c r="B74" s="68" t="s">
        <v>26</v>
      </c>
      <c r="C74" s="75" t="str">
        <f>A70&amp;B74</f>
        <v>12売上高</v>
      </c>
      <c r="D74" s="68">
        <f>D72*D73</f>
        <v>0</v>
      </c>
      <c r="E74" s="68">
        <f>E72*E73</f>
        <v>0</v>
      </c>
      <c r="F74" s="68">
        <f>F72*F73</f>
        <v>0</v>
      </c>
      <c r="G74" s="68">
        <f>G72*G73</f>
        <v>0</v>
      </c>
      <c r="H74" s="91">
        <f>H72*H73</f>
        <v>0</v>
      </c>
    </row>
    <row r="75" spans="1:9" ht="12" hidden="1" customHeight="1" x14ac:dyDescent="0.2">
      <c r="A75" s="61" t="s">
        <v>55</v>
      </c>
      <c r="B75" s="69"/>
      <c r="C75" s="78"/>
      <c r="D75" s="21" t="s">
        <v>7</v>
      </c>
      <c r="E75" s="21" t="s">
        <v>10</v>
      </c>
      <c r="F75" s="21" t="s">
        <v>9</v>
      </c>
      <c r="G75" s="21" t="s">
        <v>15</v>
      </c>
      <c r="H75" s="92" t="s">
        <v>3</v>
      </c>
      <c r="I75" s="100"/>
    </row>
    <row r="76" spans="1:9" ht="12" hidden="1" customHeight="1" x14ac:dyDescent="0.2">
      <c r="A76" s="165">
        <v>13</v>
      </c>
      <c r="B76" s="67" t="s">
        <v>24</v>
      </c>
      <c r="C76" s="74" t="str">
        <f>A76&amp;B76</f>
        <v>13経営規模(a)</v>
      </c>
      <c r="D76" s="83">
        <v>0</v>
      </c>
      <c r="E76" s="83">
        <v>0</v>
      </c>
      <c r="F76" s="83">
        <v>0</v>
      </c>
      <c r="G76" s="83">
        <v>0</v>
      </c>
      <c r="H76" s="88">
        <v>0</v>
      </c>
    </row>
    <row r="77" spans="1:9" ht="12" hidden="1" customHeight="1" x14ac:dyDescent="0.2">
      <c r="A77" s="166"/>
      <c r="B77" s="67" t="s">
        <v>63</v>
      </c>
      <c r="C77" s="74" t="str">
        <f>A76&amp;B77</f>
        <v>13反収（ｋｇ）</v>
      </c>
      <c r="D77" s="67" t="e">
        <f>D78/D76*10</f>
        <v>#DIV/0!</v>
      </c>
      <c r="E77" s="67" t="e">
        <f>E78/E76*10</f>
        <v>#DIV/0!</v>
      </c>
      <c r="F77" s="67" t="e">
        <f>F78/F76*10</f>
        <v>#DIV/0!</v>
      </c>
      <c r="G77" s="67" t="e">
        <f>G78/G76*10</f>
        <v>#DIV/0!</v>
      </c>
      <c r="H77" s="89" t="e">
        <f>H78/H76*10</f>
        <v>#DIV/0!</v>
      </c>
    </row>
    <row r="78" spans="1:9" ht="12" hidden="1" customHeight="1" x14ac:dyDescent="0.2">
      <c r="A78" s="166"/>
      <c r="B78" s="67" t="s">
        <v>28</v>
      </c>
      <c r="C78" s="74" t="str">
        <f>A76&amp;B78</f>
        <v>13生産量(kg)</v>
      </c>
      <c r="D78" s="83">
        <v>0</v>
      </c>
      <c r="E78" s="83">
        <v>0</v>
      </c>
      <c r="F78" s="83">
        <v>0</v>
      </c>
      <c r="G78" s="83">
        <v>0</v>
      </c>
      <c r="H78" s="88">
        <v>0</v>
      </c>
    </row>
    <row r="79" spans="1:9" ht="12" hidden="1" customHeight="1" x14ac:dyDescent="0.2">
      <c r="A79" s="166"/>
      <c r="B79" s="67" t="s">
        <v>95</v>
      </c>
      <c r="C79" s="74" t="str">
        <f>A76&amp;B79</f>
        <v>13単価（円/ｋｇ）</v>
      </c>
      <c r="D79" s="83">
        <v>0</v>
      </c>
      <c r="E79" s="83">
        <v>0</v>
      </c>
      <c r="F79" s="83">
        <v>0</v>
      </c>
      <c r="G79" s="83">
        <v>0</v>
      </c>
      <c r="H79" s="88">
        <v>0</v>
      </c>
    </row>
    <row r="80" spans="1:9" ht="12" hidden="1" customHeight="1" x14ac:dyDescent="0.2">
      <c r="A80" s="167"/>
      <c r="B80" s="68" t="s">
        <v>26</v>
      </c>
      <c r="C80" s="75" t="str">
        <f>A76&amp;B80</f>
        <v>13売上高</v>
      </c>
      <c r="D80" s="68">
        <f>D78*D79</f>
        <v>0</v>
      </c>
      <c r="E80" s="68">
        <f>E78*E79</f>
        <v>0</v>
      </c>
      <c r="F80" s="68">
        <f>F78*F79</f>
        <v>0</v>
      </c>
      <c r="G80" s="68">
        <f>G78*G79</f>
        <v>0</v>
      </c>
      <c r="H80" s="91">
        <f>H78*H79</f>
        <v>0</v>
      </c>
    </row>
    <row r="81" spans="1:9" ht="12" hidden="1" customHeight="1" x14ac:dyDescent="0.2">
      <c r="A81" s="62" t="s">
        <v>55</v>
      </c>
      <c r="B81" s="70"/>
      <c r="C81" s="79"/>
      <c r="D81" s="21" t="s">
        <v>7</v>
      </c>
      <c r="E81" s="21" t="s">
        <v>10</v>
      </c>
      <c r="F81" s="21" t="s">
        <v>9</v>
      </c>
      <c r="G81" s="21" t="s">
        <v>15</v>
      </c>
      <c r="H81" s="92" t="s">
        <v>3</v>
      </c>
      <c r="I81" s="100"/>
    </row>
    <row r="82" spans="1:9" ht="12" hidden="1" customHeight="1" x14ac:dyDescent="0.2">
      <c r="A82" s="165">
        <v>14</v>
      </c>
      <c r="B82" s="67" t="s">
        <v>24</v>
      </c>
      <c r="C82" s="74" t="str">
        <f>A82&amp;B82</f>
        <v>14経営規模(a)</v>
      </c>
      <c r="D82" s="83">
        <v>0</v>
      </c>
      <c r="E82" s="83">
        <v>0</v>
      </c>
      <c r="F82" s="83">
        <v>0</v>
      </c>
      <c r="G82" s="83">
        <v>0</v>
      </c>
      <c r="H82" s="88">
        <v>0</v>
      </c>
    </row>
    <row r="83" spans="1:9" ht="12" hidden="1" customHeight="1" x14ac:dyDescent="0.2">
      <c r="A83" s="166"/>
      <c r="B83" s="67" t="s">
        <v>63</v>
      </c>
      <c r="C83" s="74" t="str">
        <f>A82&amp;B83</f>
        <v>14反収（ｋｇ）</v>
      </c>
      <c r="D83" s="67" t="e">
        <f>D84/D82*10</f>
        <v>#DIV/0!</v>
      </c>
      <c r="E83" s="67" t="e">
        <f>E84/E82*10</f>
        <v>#DIV/0!</v>
      </c>
      <c r="F83" s="67" t="e">
        <f>F84/F82*10</f>
        <v>#DIV/0!</v>
      </c>
      <c r="G83" s="67" t="e">
        <f>G84/G82*10</f>
        <v>#DIV/0!</v>
      </c>
      <c r="H83" s="89" t="e">
        <f>H84/H82*10</f>
        <v>#DIV/0!</v>
      </c>
    </row>
    <row r="84" spans="1:9" ht="12" hidden="1" customHeight="1" x14ac:dyDescent="0.2">
      <c r="A84" s="166"/>
      <c r="B84" s="67" t="s">
        <v>28</v>
      </c>
      <c r="C84" s="74" t="str">
        <f>A82&amp;B84</f>
        <v>14生産量(kg)</v>
      </c>
      <c r="D84" s="83">
        <v>0</v>
      </c>
      <c r="E84" s="83">
        <v>0</v>
      </c>
      <c r="F84" s="83">
        <v>0</v>
      </c>
      <c r="G84" s="83">
        <v>0</v>
      </c>
      <c r="H84" s="88">
        <v>0</v>
      </c>
    </row>
    <row r="85" spans="1:9" ht="12" hidden="1" customHeight="1" x14ac:dyDescent="0.2">
      <c r="A85" s="166"/>
      <c r="B85" s="67" t="s">
        <v>95</v>
      </c>
      <c r="C85" s="74" t="str">
        <f>A82&amp;B85</f>
        <v>14単価（円/ｋｇ）</v>
      </c>
      <c r="D85" s="83">
        <v>0</v>
      </c>
      <c r="E85" s="83">
        <v>0</v>
      </c>
      <c r="F85" s="83">
        <v>0</v>
      </c>
      <c r="G85" s="83">
        <v>0</v>
      </c>
      <c r="H85" s="88">
        <v>0</v>
      </c>
    </row>
    <row r="86" spans="1:9" ht="12" hidden="1" customHeight="1" x14ac:dyDescent="0.2">
      <c r="A86" s="168"/>
      <c r="B86" s="68" t="s">
        <v>26</v>
      </c>
      <c r="C86" s="75" t="str">
        <f>A82&amp;B86</f>
        <v>14売上高</v>
      </c>
      <c r="D86" s="72">
        <f>D84*D85</f>
        <v>0</v>
      </c>
      <c r="E86" s="72">
        <f>E84*E85</f>
        <v>0</v>
      </c>
      <c r="F86" s="72">
        <f>F84*F85</f>
        <v>0</v>
      </c>
      <c r="G86" s="72">
        <f>G84*G85</f>
        <v>0</v>
      </c>
      <c r="H86" s="93">
        <f>H84*H85</f>
        <v>0</v>
      </c>
    </row>
    <row r="87" spans="1:9" ht="12" customHeight="1" x14ac:dyDescent="0.2">
      <c r="A87" s="63"/>
      <c r="B87" s="71"/>
      <c r="C87" s="63"/>
      <c r="D87" s="71"/>
      <c r="E87" s="71"/>
      <c r="F87" s="71"/>
      <c r="G87" s="71"/>
      <c r="H87" s="71"/>
    </row>
    <row r="88" spans="1:9" ht="12" customHeight="1" x14ac:dyDescent="0.2">
      <c r="A88" s="64" t="s">
        <v>62</v>
      </c>
      <c r="B88" s="64"/>
      <c r="C88" s="64"/>
      <c r="D88" s="64"/>
      <c r="E88" s="64"/>
      <c r="F88" s="64"/>
      <c r="G88" s="64"/>
      <c r="H88" s="64"/>
    </row>
    <row r="89" spans="1:9" ht="12" customHeight="1" x14ac:dyDescent="0.2">
      <c r="A89" s="58" t="s">
        <v>55</v>
      </c>
      <c r="B89" s="66"/>
      <c r="C89" s="73"/>
      <c r="D89" s="82" t="s">
        <v>7</v>
      </c>
      <c r="E89" s="82" t="s">
        <v>10</v>
      </c>
      <c r="F89" s="82" t="s">
        <v>9</v>
      </c>
      <c r="G89" s="82" t="s">
        <v>15</v>
      </c>
      <c r="H89" s="87" t="s">
        <v>3</v>
      </c>
    </row>
    <row r="90" spans="1:9" ht="12" customHeight="1" x14ac:dyDescent="0.2">
      <c r="A90" s="162" t="s">
        <v>54</v>
      </c>
      <c r="B90" s="67" t="s">
        <v>24</v>
      </c>
      <c r="C90" s="74" t="str">
        <f>A90&amp;B90</f>
        <v>温州みかん経営規模(a)</v>
      </c>
      <c r="D90" s="67">
        <f>SUMIFS(D$4:D$86,$B$4:$B$86,"経営規模(a)",$I$4:$I$86,1)</f>
        <v>100</v>
      </c>
      <c r="E90" s="67">
        <f>SUMIFS(E$4:E$86,$B$4:$B$86,"経営規模(a)",$I$4:$I$86,1)</f>
        <v>100</v>
      </c>
      <c r="F90" s="67">
        <f>SUMIFS(F$4:F$86,$B$4:$B$86,"経営規模(a)",$I$4:$I$86,1)</f>
        <v>100</v>
      </c>
      <c r="G90" s="67">
        <f>SUMIFS(G$4:G$86,$B$4:$B$86,"経営規模(a)",$I$4:$I$86,1)</f>
        <v>120</v>
      </c>
      <c r="H90" s="94">
        <f>SUMIFS(H$4:H$86,$B$4:$B$86,"経営規模(a)",$I$4:$I$86,1)</f>
        <v>120</v>
      </c>
    </row>
    <row r="91" spans="1:9" ht="12" customHeight="1" x14ac:dyDescent="0.2">
      <c r="A91" s="162"/>
      <c r="B91" s="67" t="s">
        <v>63</v>
      </c>
      <c r="C91" s="74" t="str">
        <f>A90&amp;B91</f>
        <v>温州みかん反収（ｋｇ）</v>
      </c>
      <c r="D91" s="67">
        <f>D92/D90*10</f>
        <v>1500</v>
      </c>
      <c r="E91" s="67">
        <f>E92/E90*10</f>
        <v>2050</v>
      </c>
      <c r="F91" s="67">
        <f>F92/F90*10</f>
        <v>2350</v>
      </c>
      <c r="G91" s="67">
        <f>G92/G90*10</f>
        <v>2333.3333333333335</v>
      </c>
      <c r="H91" s="94">
        <f>H92/H90*10</f>
        <v>2833.333333333333</v>
      </c>
    </row>
    <row r="92" spans="1:9" ht="12" customHeight="1" x14ac:dyDescent="0.2">
      <c r="A92" s="162"/>
      <c r="B92" s="67" t="s">
        <v>28</v>
      </c>
      <c r="C92" s="74" t="str">
        <f>A90&amp;B92</f>
        <v>温州みかん生産量(kg)</v>
      </c>
      <c r="D92" s="67">
        <f>SUMIFS(D$4:D$86,$B$4:$B$86,"生産量(kg)",$I$4:$I$86,1)</f>
        <v>15000</v>
      </c>
      <c r="E92" s="67">
        <f>SUMIFS(E$4:E$86,$B$4:$B$86,"生産量(kg)",$I$4:$I$86,1)</f>
        <v>20500</v>
      </c>
      <c r="F92" s="67">
        <f>SUMIFS(F$4:F$86,$B$4:$B$86,"生産量(kg)",$I$4:$I$86,1)</f>
        <v>23500</v>
      </c>
      <c r="G92" s="67">
        <f>SUMIFS(G$4:G$86,$B$4:$B$86,"生産量(kg)",$I$4:$I$86,1)</f>
        <v>28000</v>
      </c>
      <c r="H92" s="94">
        <f>SUMIFS(H$4:H$86,$B$4:$B$86,"生産量(kg)",$I$4:$I$86,1)</f>
        <v>34000</v>
      </c>
    </row>
    <row r="93" spans="1:9" ht="12" customHeight="1" x14ac:dyDescent="0.2">
      <c r="A93" s="162"/>
      <c r="B93" s="67" t="s">
        <v>95</v>
      </c>
      <c r="C93" s="74" t="str">
        <f>A90&amp;B93</f>
        <v>温州みかん単価（円/ｋｇ）</v>
      </c>
      <c r="D93" s="67">
        <f>D94/D92</f>
        <v>142</v>
      </c>
      <c r="E93" s="67">
        <f>E94/E92</f>
        <v>137.80487804878049</v>
      </c>
      <c r="F93" s="67">
        <f>F94/F92</f>
        <v>137.65957446808511</v>
      </c>
      <c r="G93" s="67">
        <f>G94/G92</f>
        <v>150</v>
      </c>
      <c r="H93" s="94">
        <f>H94/H92</f>
        <v>161.1764705882353</v>
      </c>
    </row>
    <row r="94" spans="1:9" ht="12" customHeight="1" x14ac:dyDescent="0.2">
      <c r="A94" s="165"/>
      <c r="B94" s="68" t="s">
        <v>26</v>
      </c>
      <c r="C94" s="80" t="str">
        <f>A90&amp;B94</f>
        <v>温州みかん売上高</v>
      </c>
      <c r="D94" s="84">
        <f>SUMIFS(D$4:D$86,$B$4:$B$86,"売上高",$I$4:$I$86,1)</f>
        <v>2130000</v>
      </c>
      <c r="E94" s="84">
        <f>SUMIFS(E$4:E$86,$B$4:$B$86,"売上高",$I$4:$I$86,1)</f>
        <v>2825000</v>
      </c>
      <c r="F94" s="84">
        <f>SUMIFS(F$4:F$86,$B$4:$B$86,"売上高",$I$4:$I$86,1)</f>
        <v>3235000</v>
      </c>
      <c r="G94" s="84">
        <f>SUMIFS(G$4:G$86,$B$4:$B$86,"売上高",$I$4:$I$86,1)</f>
        <v>4200000</v>
      </c>
      <c r="H94" s="95">
        <f>SUMIFS(H$4:H$86,$B$4:$B$86,"売上高",$I$4:$I$86,1)</f>
        <v>5480000</v>
      </c>
    </row>
    <row r="95" spans="1:9" ht="12" customHeight="1" x14ac:dyDescent="0.2">
      <c r="A95" s="60" t="s">
        <v>55</v>
      </c>
      <c r="B95" s="70"/>
      <c r="C95" s="77"/>
      <c r="D95" s="21" t="s">
        <v>7</v>
      </c>
      <c r="E95" s="21" t="s">
        <v>10</v>
      </c>
      <c r="F95" s="21" t="s">
        <v>9</v>
      </c>
      <c r="G95" s="21" t="s">
        <v>15</v>
      </c>
      <c r="H95" s="92" t="s">
        <v>3</v>
      </c>
    </row>
    <row r="96" spans="1:9" ht="12" customHeight="1" x14ac:dyDescent="0.2">
      <c r="A96" s="162" t="s">
        <v>83</v>
      </c>
      <c r="B96" s="67" t="s">
        <v>24</v>
      </c>
      <c r="C96" s="74" t="str">
        <f>A96&amp;B96</f>
        <v>中晩柑類経営規模(a)</v>
      </c>
      <c r="D96" s="67">
        <f>SUMIFS(D$4:D$86,$B$4:$B$86,"経営規模(a)",$I$4:$I$86,2)</f>
        <v>35</v>
      </c>
      <c r="E96" s="67">
        <f>SUMIFS(E$4:E$86,$B$4:$B$86,"経営規模(a)",$I$4:$I$86,2)</f>
        <v>35</v>
      </c>
      <c r="F96" s="67">
        <f>SUMIFS(F$4:F$86,$B$4:$B$86,"経営規模(a)",$I$4:$I$86,2)</f>
        <v>35</v>
      </c>
      <c r="G96" s="67">
        <f>SUMIFS(G$4:G$86,$B$4:$B$86,"経営規模(a)",$I$4:$I$86,2)</f>
        <v>35</v>
      </c>
      <c r="H96" s="94">
        <f>SUMIFS(H$4:H$86,$B$4:$B$86,"経営規模(a)",$I$4:$I$86,2)</f>
        <v>35</v>
      </c>
    </row>
    <row r="97" spans="1:8" ht="12" customHeight="1" x14ac:dyDescent="0.2">
      <c r="A97" s="162"/>
      <c r="B97" s="67" t="s">
        <v>63</v>
      </c>
      <c r="C97" s="74" t="str">
        <f>A96&amp;B97</f>
        <v>中晩柑類反収（ｋｇ）</v>
      </c>
      <c r="D97" s="67">
        <f>D98/D96*10</f>
        <v>0</v>
      </c>
      <c r="E97" s="67">
        <f>E98/E96*10</f>
        <v>2285.7142857142858</v>
      </c>
      <c r="F97" s="67">
        <f>F98/F96*10</f>
        <v>2571.4285714285716</v>
      </c>
      <c r="G97" s="67">
        <f>G98/G96*10</f>
        <v>2000</v>
      </c>
      <c r="H97" s="94">
        <f>H98/H96*10</f>
        <v>2714.2857142857147</v>
      </c>
    </row>
    <row r="98" spans="1:8" ht="12" customHeight="1" x14ac:dyDescent="0.2">
      <c r="A98" s="162"/>
      <c r="B98" s="67" t="s">
        <v>28</v>
      </c>
      <c r="C98" s="74" t="str">
        <f>A96&amp;B98</f>
        <v>中晩柑類生産量(kg)</v>
      </c>
      <c r="D98" s="67">
        <f>SUMIFS(D$4:D$86,$B$4:$B$86,"生産量(kg)",$I$4:$I$86,2)</f>
        <v>0</v>
      </c>
      <c r="E98" s="67">
        <f>SUMIFS(E$4:E$86,$B$4:$B$86,"生産量(kg)",$I$4:$I$86,2)</f>
        <v>8000</v>
      </c>
      <c r="F98" s="67">
        <f>SUMIFS(F$4:F$86,$B$4:$B$86,"生産量(kg)",$I$4:$I$86,2)</f>
        <v>9000</v>
      </c>
      <c r="G98" s="67">
        <f>SUMIFS(G$4:G$86,$B$4:$B$86,"生産量(kg)",$I$4:$I$86,2)</f>
        <v>7000</v>
      </c>
      <c r="H98" s="94">
        <f>SUMIFS(H$4:H$86,$B$4:$B$86,"生産量(kg)",$I$4:$I$86,2)</f>
        <v>9500</v>
      </c>
    </row>
    <row r="99" spans="1:8" ht="12" customHeight="1" x14ac:dyDescent="0.2">
      <c r="A99" s="162"/>
      <c r="B99" s="67" t="s">
        <v>95</v>
      </c>
      <c r="C99" s="74" t="str">
        <f>A96&amp;B99</f>
        <v>中晩柑類単価（円/ｋｇ）</v>
      </c>
      <c r="D99" s="67" t="e">
        <f>D100/D98</f>
        <v>#DIV/0!</v>
      </c>
      <c r="E99" s="67">
        <f>E100/E98</f>
        <v>100</v>
      </c>
      <c r="F99" s="67">
        <f>F100/F98</f>
        <v>100</v>
      </c>
      <c r="G99" s="67">
        <f>G100/G98</f>
        <v>151.42857142857142</v>
      </c>
      <c r="H99" s="94">
        <f>H100/H98</f>
        <v>181.57894736842104</v>
      </c>
    </row>
    <row r="100" spans="1:8" ht="12" customHeight="1" x14ac:dyDescent="0.2">
      <c r="A100" s="163"/>
      <c r="B100" s="68" t="s">
        <v>26</v>
      </c>
      <c r="C100" s="80" t="str">
        <f>A96&amp;B100</f>
        <v>中晩柑類売上高</v>
      </c>
      <c r="D100" s="84">
        <f>SUMIFS(D$4:D$86,$B$4:$B$86,"売上高",$I$4:$I$86,2)</f>
        <v>0</v>
      </c>
      <c r="E100" s="84">
        <f>SUMIFS(E$4:E$86,$B$4:$B$86,"売上高",$I$4:$I$86,2)</f>
        <v>800000</v>
      </c>
      <c r="F100" s="84">
        <f>SUMIFS(F$4:F$86,$B$4:$B$86,"売上高",$I$4:$I$86,2)</f>
        <v>900000</v>
      </c>
      <c r="G100" s="84">
        <f>SUMIFS(G$4:G$86,$B$4:$B$86,"売上高",$I$4:$I$86,2)</f>
        <v>1060000</v>
      </c>
      <c r="H100" s="95">
        <f>SUMIFS(H$4:H$86,$B$4:$B$86,"売上高",$I$4:$I$86,2)</f>
        <v>1725000</v>
      </c>
    </row>
    <row r="101" spans="1:8" ht="12" customHeight="1" x14ac:dyDescent="0.2">
      <c r="A101" s="60" t="s">
        <v>55</v>
      </c>
      <c r="B101" s="70"/>
      <c r="C101" s="77"/>
      <c r="D101" s="21" t="s">
        <v>7</v>
      </c>
      <c r="E101" s="21" t="s">
        <v>10</v>
      </c>
      <c r="F101" s="21" t="s">
        <v>9</v>
      </c>
      <c r="G101" s="21" t="s">
        <v>15</v>
      </c>
      <c r="H101" s="92" t="s">
        <v>3</v>
      </c>
    </row>
    <row r="102" spans="1:8" ht="12" customHeight="1" x14ac:dyDescent="0.2">
      <c r="A102" s="162" t="s">
        <v>84</v>
      </c>
      <c r="B102" s="67" t="s">
        <v>24</v>
      </c>
      <c r="C102" s="74" t="str">
        <f>A102&amp;B102</f>
        <v>香酸柑橘類経営規模(a)</v>
      </c>
      <c r="D102" s="67">
        <f>SUMIFS(D$4:D$86,$B$4:$B$86,"経営規模(a)",$I$4:$I$86,3)</f>
        <v>10</v>
      </c>
      <c r="E102" s="67">
        <f>SUMIFS(E$4:E$86,$B$4:$B$86,"経営規模(a)",$I$4:$I$86,3)</f>
        <v>10</v>
      </c>
      <c r="F102" s="67">
        <f>SUMIFS(F$4:F$86,$B$4:$B$86,"経営規模(a)",$I$4:$I$86,3)</f>
        <v>10</v>
      </c>
      <c r="G102" s="67">
        <f>SUMIFS(G$4:G$86,$B$4:$B$86,"経営規模(a)",$I$4:$I$86,3)</f>
        <v>10</v>
      </c>
      <c r="H102" s="94">
        <f>SUMIFS(H$4:H$86,$B$4:$B$86,"経営規模(a)",$I$4:$I$86,3)</f>
        <v>10</v>
      </c>
    </row>
    <row r="103" spans="1:8" ht="12" customHeight="1" x14ac:dyDescent="0.2">
      <c r="A103" s="162"/>
      <c r="B103" s="67" t="s">
        <v>63</v>
      </c>
      <c r="C103" s="74" t="str">
        <f>A102&amp;B103</f>
        <v>香酸柑橘類反収（ｋｇ）</v>
      </c>
      <c r="D103" s="67">
        <f>D104/D102*10</f>
        <v>0</v>
      </c>
      <c r="E103" s="67">
        <f>E104/E102*10</f>
        <v>0</v>
      </c>
      <c r="F103" s="67">
        <f>F104/F102*10</f>
        <v>0</v>
      </c>
      <c r="G103" s="67">
        <f>G104/G102*10</f>
        <v>0</v>
      </c>
      <c r="H103" s="94">
        <f>H104/H102*10</f>
        <v>100</v>
      </c>
    </row>
    <row r="104" spans="1:8" ht="12" customHeight="1" x14ac:dyDescent="0.2">
      <c r="A104" s="162"/>
      <c r="B104" s="67" t="s">
        <v>28</v>
      </c>
      <c r="C104" s="74" t="str">
        <f>A102&amp;B104</f>
        <v>香酸柑橘類生産量(kg)</v>
      </c>
      <c r="D104" s="67">
        <f>SUMIFS(D$4:D$86,$B$4:$B$86,"生産量(kg)",$I$4:$I$86,3)</f>
        <v>0</v>
      </c>
      <c r="E104" s="67">
        <f>SUMIFS(E$4:E$86,$B$4:$B$86,"生産量(kg)",$I$4:$I$86,3)</f>
        <v>0</v>
      </c>
      <c r="F104" s="67">
        <f>SUMIFS(F$4:F$86,$B$4:$B$86,"生産量(kg)",$I$4:$I$86,3)</f>
        <v>0</v>
      </c>
      <c r="G104" s="67">
        <f>SUMIFS(G$4:G$86,$B$4:$B$86,"生産量(kg)",$I$4:$I$86,3)</f>
        <v>0</v>
      </c>
      <c r="H104" s="94">
        <f>SUMIFS(H$4:H$86,$B$4:$B$86,"生産量(kg)",$I$4:$I$86,3)</f>
        <v>100</v>
      </c>
    </row>
    <row r="105" spans="1:8" ht="12" customHeight="1" x14ac:dyDescent="0.2">
      <c r="A105" s="162"/>
      <c r="B105" s="67" t="s">
        <v>95</v>
      </c>
      <c r="C105" s="74" t="str">
        <f>A102&amp;B105</f>
        <v>香酸柑橘類単価（円/ｋｇ）</v>
      </c>
      <c r="D105" s="67" t="e">
        <f>D106/D104</f>
        <v>#DIV/0!</v>
      </c>
      <c r="E105" s="67" t="e">
        <f>E106/E104</f>
        <v>#DIV/0!</v>
      </c>
      <c r="F105" s="67" t="e">
        <f>F106/F104</f>
        <v>#DIV/0!</v>
      </c>
      <c r="G105" s="67" t="e">
        <f>G106/G104</f>
        <v>#DIV/0!</v>
      </c>
      <c r="H105" s="94">
        <f>H106/H104</f>
        <v>90</v>
      </c>
    </row>
    <row r="106" spans="1:8" ht="12" customHeight="1" x14ac:dyDescent="0.2">
      <c r="A106" s="164"/>
      <c r="B106" s="72" t="s">
        <v>26</v>
      </c>
      <c r="C106" s="81" t="str">
        <f>A102&amp;B106</f>
        <v>香酸柑橘類売上高</v>
      </c>
      <c r="D106" s="72">
        <f>SUMIFS(D$4:D$86,$B$4:$B$86,"売上高",$I$4:$I$86,3)</f>
        <v>0</v>
      </c>
      <c r="E106" s="72">
        <f>SUMIFS(E$4:E$86,$B$4:$B$86,"売上高",$I$4:$I$86,3)</f>
        <v>0</v>
      </c>
      <c r="F106" s="72">
        <f>SUMIFS(F$4:F$86,$B$4:$B$86,"売上高",$I$4:$I$86,3)</f>
        <v>0</v>
      </c>
      <c r="G106" s="72">
        <f>SUMIFS(G$4:G$86,$B$4:$B$86,"売上高",$I$4:$I$86,3)</f>
        <v>0</v>
      </c>
      <c r="H106" s="96">
        <f>SUMIFS(H$4:H$86,$B$4:$B$86,"売上高",$I$4:$I$86,3)</f>
        <v>9000</v>
      </c>
    </row>
    <row r="107" spans="1:8" ht="12" hidden="1" customHeight="1" x14ac:dyDescent="0.2">
      <c r="A107" s="59" t="s">
        <v>55</v>
      </c>
      <c r="B107" s="69"/>
      <c r="C107" s="76"/>
      <c r="D107" s="85" t="s">
        <v>7</v>
      </c>
      <c r="E107" s="85" t="s">
        <v>10</v>
      </c>
      <c r="F107" s="85" t="s">
        <v>9</v>
      </c>
      <c r="G107" s="85" t="s">
        <v>15</v>
      </c>
      <c r="H107" s="97" t="s">
        <v>3</v>
      </c>
    </row>
    <row r="108" spans="1:8" ht="12" hidden="1" customHeight="1" x14ac:dyDescent="0.2">
      <c r="A108" s="162">
        <v>4</v>
      </c>
      <c r="B108" s="67" t="s">
        <v>24</v>
      </c>
      <c r="C108" s="74" t="str">
        <f>A108&amp;B108</f>
        <v>4経営規模(a)</v>
      </c>
      <c r="D108" s="67"/>
      <c r="E108" s="67"/>
      <c r="F108" s="67"/>
      <c r="G108" s="67"/>
      <c r="H108" s="89"/>
    </row>
    <row r="109" spans="1:8" ht="12" hidden="1" customHeight="1" x14ac:dyDescent="0.2">
      <c r="A109" s="162"/>
      <c r="B109" s="67" t="s">
        <v>63</v>
      </c>
      <c r="C109" s="74" t="str">
        <f>A108&amp;B109</f>
        <v>4反収（ｋｇ）</v>
      </c>
      <c r="D109" s="67"/>
      <c r="E109" s="67"/>
      <c r="F109" s="67"/>
      <c r="G109" s="67"/>
      <c r="H109" s="89"/>
    </row>
    <row r="110" spans="1:8" ht="12" hidden="1" customHeight="1" x14ac:dyDescent="0.2">
      <c r="A110" s="162"/>
      <c r="B110" s="67" t="s">
        <v>28</v>
      </c>
      <c r="C110" s="74" t="str">
        <f>A108&amp;B110</f>
        <v>4生産量(kg)</v>
      </c>
      <c r="D110" s="67"/>
      <c r="E110" s="67"/>
      <c r="F110" s="67"/>
      <c r="G110" s="67"/>
      <c r="H110" s="89"/>
    </row>
    <row r="111" spans="1:8" ht="12" hidden="1" customHeight="1" x14ac:dyDescent="0.2">
      <c r="A111" s="162"/>
      <c r="B111" s="67" t="s">
        <v>95</v>
      </c>
      <c r="C111" s="74" t="str">
        <f>A108&amp;B111</f>
        <v>4単価（円/ｋｇ）</v>
      </c>
      <c r="D111" s="67"/>
      <c r="E111" s="67"/>
      <c r="F111" s="67"/>
      <c r="G111" s="67"/>
      <c r="H111" s="94"/>
    </row>
    <row r="112" spans="1:8" ht="12" hidden="1" customHeight="1" x14ac:dyDescent="0.2">
      <c r="A112" s="164"/>
      <c r="B112" s="72" t="s">
        <v>26</v>
      </c>
      <c r="C112" s="81" t="str">
        <f>A108&amp;B112</f>
        <v>4売上高</v>
      </c>
      <c r="D112" s="72"/>
      <c r="E112" s="72"/>
      <c r="F112" s="72"/>
      <c r="G112" s="72"/>
      <c r="H112" s="93"/>
    </row>
    <row r="113" spans="1:8" ht="12" customHeight="1" x14ac:dyDescent="0.2">
      <c r="A113" s="65"/>
      <c r="B113" s="71"/>
      <c r="C113" s="71"/>
      <c r="D113" s="71"/>
      <c r="E113" s="71"/>
      <c r="F113" s="71"/>
      <c r="G113" s="86"/>
      <c r="H113" s="98"/>
    </row>
    <row r="114" spans="1:8" ht="12" customHeight="1" x14ac:dyDescent="0.2">
      <c r="A114" s="58" t="s">
        <v>55</v>
      </c>
      <c r="B114" s="66"/>
      <c r="C114" s="73"/>
      <c r="D114" s="82" t="s">
        <v>7</v>
      </c>
      <c r="E114" s="82" t="s">
        <v>10</v>
      </c>
      <c r="F114" s="82" t="s">
        <v>9</v>
      </c>
      <c r="G114" s="82" t="s">
        <v>15</v>
      </c>
      <c r="H114" s="87" t="s">
        <v>3</v>
      </c>
    </row>
    <row r="115" spans="1:8" ht="12" customHeight="1" x14ac:dyDescent="0.2">
      <c r="A115" s="162" t="s">
        <v>85</v>
      </c>
      <c r="B115" s="67" t="s">
        <v>24</v>
      </c>
      <c r="C115" s="74"/>
      <c r="D115" s="67">
        <f>D90+D96+D102+D108</f>
        <v>145</v>
      </c>
      <c r="E115" s="67">
        <f>E90+E96+E102+E108</f>
        <v>145</v>
      </c>
      <c r="F115" s="67">
        <f>F90+F96+F102+F108</f>
        <v>145</v>
      </c>
      <c r="G115" s="67">
        <f>G90+G96+G102+G108</f>
        <v>165</v>
      </c>
      <c r="H115" s="89">
        <f>H90+H96+H102+H108</f>
        <v>165</v>
      </c>
    </row>
    <row r="116" spans="1:8" ht="12" customHeight="1" x14ac:dyDescent="0.2">
      <c r="A116" s="162"/>
      <c r="B116" s="67" t="s">
        <v>63</v>
      </c>
      <c r="C116" s="74"/>
      <c r="D116" s="67">
        <f>D117/D115*10</f>
        <v>1034.4827586206898</v>
      </c>
      <c r="E116" s="67">
        <f>E117/E115*10</f>
        <v>1965.5172413793105</v>
      </c>
      <c r="F116" s="67">
        <f>F117/F115*10</f>
        <v>2241.3793103448274</v>
      </c>
      <c r="G116" s="67">
        <f>G117/G115*10</f>
        <v>2121.212121212121</v>
      </c>
      <c r="H116" s="89">
        <f>H117/H115*10</f>
        <v>2642.4242424242425</v>
      </c>
    </row>
    <row r="117" spans="1:8" ht="12" customHeight="1" x14ac:dyDescent="0.2">
      <c r="A117" s="162"/>
      <c r="B117" s="67" t="s">
        <v>28</v>
      </c>
      <c r="C117" s="74"/>
      <c r="D117" s="67">
        <f>SUM(D92,D98,D104,D110)</f>
        <v>15000</v>
      </c>
      <c r="E117" s="67">
        <f>SUM(E92,E98,E104,E110)</f>
        <v>28500</v>
      </c>
      <c r="F117" s="67">
        <f>SUM(F92,F98,F104,F110)</f>
        <v>32500</v>
      </c>
      <c r="G117" s="67">
        <f>SUM(G92,G98,G104,G110)</f>
        <v>35000</v>
      </c>
      <c r="H117" s="89">
        <f>SUM(H92,H98,H104,H110)</f>
        <v>43600</v>
      </c>
    </row>
    <row r="118" spans="1:8" ht="12" customHeight="1" x14ac:dyDescent="0.2">
      <c r="A118" s="162"/>
      <c r="B118" s="67" t="s">
        <v>95</v>
      </c>
      <c r="C118" s="74"/>
      <c r="D118" s="67">
        <f>D119/D117</f>
        <v>142</v>
      </c>
      <c r="E118" s="67">
        <f>E119/E117</f>
        <v>127.19298245614036</v>
      </c>
      <c r="F118" s="67">
        <f>F119/F117</f>
        <v>127.23076923076923</v>
      </c>
      <c r="G118" s="67">
        <f>G119/G117</f>
        <v>150.28571428571428</v>
      </c>
      <c r="H118" s="94">
        <f>H119/H117</f>
        <v>165.45871559633028</v>
      </c>
    </row>
    <row r="119" spans="1:8" ht="12" customHeight="1" x14ac:dyDescent="0.2">
      <c r="A119" s="164"/>
      <c r="B119" s="72" t="s">
        <v>26</v>
      </c>
      <c r="C119" s="81"/>
      <c r="D119" s="72">
        <f>SUM(D94,D100,D106,D112)</f>
        <v>2130000</v>
      </c>
      <c r="E119" s="72">
        <f>SUM(E94,E100,E106,E112)</f>
        <v>3625000</v>
      </c>
      <c r="F119" s="72">
        <f>SUM(F94,F100,F106,F112)</f>
        <v>4135000</v>
      </c>
      <c r="G119" s="72">
        <f>SUM(G94,G100,G106,G112)</f>
        <v>5260000</v>
      </c>
      <c r="H119" s="93">
        <f>SUM(H94,H100,H106,H112)</f>
        <v>7214000</v>
      </c>
    </row>
    <row r="120" spans="1:8" ht="12" customHeight="1" x14ac:dyDescent="0.2">
      <c r="A120" s="64"/>
      <c r="B120" s="64"/>
      <c r="C120" s="64"/>
      <c r="D120" s="64"/>
      <c r="E120" s="64"/>
      <c r="F120" s="64"/>
      <c r="G120" s="64"/>
      <c r="H120" s="64"/>
    </row>
    <row r="121" spans="1:8" ht="12" customHeight="1" x14ac:dyDescent="0.2">
      <c r="A121" s="64"/>
      <c r="B121" s="64"/>
      <c r="C121" s="64"/>
      <c r="D121" s="64"/>
      <c r="E121" s="64"/>
      <c r="F121" s="64"/>
      <c r="G121" s="64"/>
      <c r="H121" s="64"/>
    </row>
    <row r="122" spans="1:8" ht="12" customHeight="1" x14ac:dyDescent="0.2">
      <c r="A122" s="64"/>
      <c r="B122" s="64"/>
      <c r="C122" s="64"/>
      <c r="D122" s="64"/>
      <c r="E122" s="64"/>
      <c r="F122" s="64"/>
      <c r="G122" s="64"/>
      <c r="H122" s="64"/>
    </row>
    <row r="123" spans="1:8" ht="15" customHeight="1" x14ac:dyDescent="0.2"/>
    <row r="124" spans="1:8" ht="15" customHeight="1" x14ac:dyDescent="0.2"/>
  </sheetData>
  <mergeCells count="19">
    <mergeCell ref="A4:A8"/>
    <mergeCell ref="A10:A14"/>
    <mergeCell ref="A16:A20"/>
    <mergeCell ref="A22:A26"/>
    <mergeCell ref="A28:A32"/>
    <mergeCell ref="A34:A38"/>
    <mergeCell ref="A40:A44"/>
    <mergeCell ref="A46:A50"/>
    <mergeCell ref="A52:A56"/>
    <mergeCell ref="A58:A62"/>
    <mergeCell ref="A96:A100"/>
    <mergeCell ref="A102:A106"/>
    <mergeCell ref="A108:A112"/>
    <mergeCell ref="A115:A119"/>
    <mergeCell ref="A64:A68"/>
    <mergeCell ref="A70:A74"/>
    <mergeCell ref="A76:A80"/>
    <mergeCell ref="A82:A86"/>
    <mergeCell ref="A90:A94"/>
  </mergeCells>
  <phoneticPr fontId="19"/>
  <pageMargins left="0.70866141732283472" right="0.19685039370078741" top="0.71" bottom="0.54" header="0.31496062992125984" footer="0.31496062992125984"/>
  <headerFooter alignWithMargins="0"/>
  <colBreaks count="1" manualBreakCount="1">
    <brk id="8" max="118" man="1"/>
  </colBreaks>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K14" sqref="K14"/>
    </sheetView>
  </sheetViews>
  <sheetFormatPr defaultRowHeight="13" x14ac:dyDescent="0.2"/>
  <cols>
    <col min="1" max="1" width="23.7265625" customWidth="1"/>
    <col min="2" max="8" width="12" customWidth="1"/>
  </cols>
  <sheetData>
    <row r="1" spans="1:12" x14ac:dyDescent="0.2">
      <c r="A1" t="s">
        <v>127</v>
      </c>
    </row>
    <row r="2" spans="1:12" x14ac:dyDescent="0.2">
      <c r="A2" t="s">
        <v>41</v>
      </c>
    </row>
    <row r="3" spans="1:12" ht="35.15" customHeight="1" x14ac:dyDescent="0.2">
      <c r="A3" s="6" t="s">
        <v>86</v>
      </c>
      <c r="B3" s="6" t="s">
        <v>87</v>
      </c>
      <c r="C3" s="6" t="s">
        <v>88</v>
      </c>
      <c r="D3" s="6" t="s">
        <v>17</v>
      </c>
      <c r="E3" s="6" t="s">
        <v>89</v>
      </c>
      <c r="F3" s="6" t="s">
        <v>90</v>
      </c>
      <c r="G3" s="6" t="s">
        <v>107</v>
      </c>
      <c r="H3" s="6" t="s">
        <v>108</v>
      </c>
      <c r="I3" s="145" t="s">
        <v>103</v>
      </c>
      <c r="J3" s="169" t="s">
        <v>106</v>
      </c>
      <c r="K3" s="169" t="s">
        <v>104</v>
      </c>
      <c r="L3" s="170" t="s">
        <v>111</v>
      </c>
    </row>
    <row r="4" spans="1:12" ht="35.15" customHeight="1" x14ac:dyDescent="0.2">
      <c r="A4" s="6" t="s">
        <v>91</v>
      </c>
      <c r="B4" s="119" t="s">
        <v>92</v>
      </c>
      <c r="C4" s="119" t="s">
        <v>11</v>
      </c>
      <c r="D4" s="119" t="s">
        <v>11</v>
      </c>
      <c r="E4" s="119" t="s">
        <v>11</v>
      </c>
      <c r="F4" s="119" t="s">
        <v>11</v>
      </c>
      <c r="G4" s="119" t="s">
        <v>11</v>
      </c>
      <c r="H4" s="119" t="s">
        <v>11</v>
      </c>
      <c r="I4" s="145"/>
      <c r="J4" s="145"/>
      <c r="K4" s="145"/>
      <c r="L4" s="171"/>
    </row>
    <row r="5" spans="1:12" ht="35.15" customHeight="1" x14ac:dyDescent="0.2">
      <c r="A5" s="22" t="s">
        <v>94</v>
      </c>
      <c r="B5" s="120">
        <v>136533</v>
      </c>
      <c r="C5" s="120">
        <v>163840</v>
      </c>
      <c r="D5" s="120">
        <v>131072</v>
      </c>
      <c r="E5" s="120">
        <v>131072</v>
      </c>
      <c r="F5" s="120">
        <v>131072</v>
      </c>
      <c r="G5" s="120">
        <v>131072</v>
      </c>
      <c r="H5" s="120">
        <v>131071</v>
      </c>
      <c r="I5" s="6" t="s">
        <v>109</v>
      </c>
      <c r="J5" s="6" t="s">
        <v>110</v>
      </c>
      <c r="K5" s="129" t="s">
        <v>100</v>
      </c>
      <c r="L5" s="130" t="s">
        <v>112</v>
      </c>
    </row>
    <row r="6" spans="1:12" ht="35.15" customHeight="1" x14ac:dyDescent="0.2">
      <c r="A6" s="113" t="s">
        <v>43</v>
      </c>
      <c r="B6" s="120">
        <v>145801</v>
      </c>
      <c r="C6" s="120">
        <v>156154</v>
      </c>
      <c r="D6" s="120">
        <v>130206</v>
      </c>
      <c r="E6" s="120">
        <v>130206</v>
      </c>
      <c r="F6" s="120">
        <v>129425</v>
      </c>
      <c r="G6" s="120"/>
      <c r="H6" s="120"/>
      <c r="I6" s="6" t="s">
        <v>35</v>
      </c>
      <c r="J6" s="6" t="s">
        <v>110</v>
      </c>
      <c r="K6" s="129" t="s">
        <v>113</v>
      </c>
      <c r="L6" s="130" t="s">
        <v>52</v>
      </c>
    </row>
    <row r="7" spans="1:12" ht="35.15" customHeight="1" x14ac:dyDescent="0.2">
      <c r="A7" s="22"/>
      <c r="B7" s="120"/>
      <c r="C7" s="120"/>
      <c r="D7" s="120"/>
      <c r="E7" s="120"/>
      <c r="F7" s="120"/>
      <c r="G7" s="120"/>
      <c r="H7" s="120"/>
      <c r="I7" s="6"/>
      <c r="J7" s="6"/>
      <c r="K7" s="11"/>
      <c r="L7" s="131"/>
    </row>
    <row r="8" spans="1:12" ht="35.15" customHeight="1" x14ac:dyDescent="0.2">
      <c r="A8" s="22"/>
      <c r="B8" s="120"/>
      <c r="C8" s="120"/>
      <c r="D8" s="120"/>
      <c r="E8" s="120"/>
      <c r="F8" s="120"/>
      <c r="G8" s="120"/>
      <c r="H8" s="120"/>
      <c r="I8" s="6"/>
      <c r="J8" s="6"/>
      <c r="K8" s="11"/>
      <c r="L8" s="131"/>
    </row>
    <row r="9" spans="1:12" ht="35.15" customHeight="1" x14ac:dyDescent="0.2">
      <c r="A9" s="6" t="s">
        <v>62</v>
      </c>
      <c r="B9" s="120">
        <f t="shared" ref="B9:H9" si="0">SUM(B4:B8)</f>
        <v>282334</v>
      </c>
      <c r="C9" s="120">
        <f t="shared" si="0"/>
        <v>319994</v>
      </c>
      <c r="D9" s="120">
        <f t="shared" si="0"/>
        <v>261278</v>
      </c>
      <c r="E9" s="120">
        <f t="shared" si="0"/>
        <v>261278</v>
      </c>
      <c r="F9" s="120">
        <f t="shared" si="0"/>
        <v>260497</v>
      </c>
      <c r="G9" s="120">
        <f t="shared" si="0"/>
        <v>131072</v>
      </c>
      <c r="H9" s="120">
        <f t="shared" si="0"/>
        <v>131071</v>
      </c>
      <c r="I9" s="6" t="s">
        <v>105</v>
      </c>
      <c r="J9" s="6" t="s">
        <v>105</v>
      </c>
      <c r="K9" s="6" t="s">
        <v>105</v>
      </c>
      <c r="L9" s="6" t="s">
        <v>105</v>
      </c>
    </row>
    <row r="10" spans="1:12" ht="35.15" customHeight="1" x14ac:dyDescent="0.2">
      <c r="A10" s="114"/>
      <c r="B10" s="114"/>
      <c r="C10" s="114"/>
      <c r="D10" s="114"/>
      <c r="E10" s="114"/>
      <c r="F10" s="114"/>
      <c r="G10" s="114"/>
      <c r="H10" s="114"/>
      <c r="I10" s="114"/>
      <c r="J10" s="114"/>
      <c r="K10" s="114"/>
    </row>
    <row r="11" spans="1:12" ht="11.25" customHeight="1" x14ac:dyDescent="0.2">
      <c r="B11" s="114"/>
      <c r="C11" s="114"/>
      <c r="D11" s="114"/>
      <c r="E11" s="114"/>
      <c r="F11" s="114"/>
      <c r="G11" s="114"/>
      <c r="H11" s="114"/>
      <c r="I11" s="114"/>
      <c r="J11" s="114"/>
      <c r="K11" s="114"/>
    </row>
    <row r="12" spans="1:12" ht="35.15" customHeight="1" x14ac:dyDescent="0.2">
      <c r="A12" s="114"/>
      <c r="I12" s="114"/>
      <c r="J12" s="114"/>
      <c r="K12" s="114"/>
    </row>
    <row r="13" spans="1:12" ht="13.5" customHeight="1" x14ac:dyDescent="0.2">
      <c r="A13" s="115" t="s">
        <v>124</v>
      </c>
      <c r="B13" s="121" t="s">
        <v>114</v>
      </c>
      <c r="C13" s="121" t="s">
        <v>115</v>
      </c>
      <c r="D13" s="121" t="s">
        <v>93</v>
      </c>
      <c r="E13" s="121" t="s">
        <v>123</v>
      </c>
      <c r="F13" s="125" t="s">
        <v>126</v>
      </c>
      <c r="I13" s="114"/>
      <c r="J13" s="114"/>
      <c r="K13" s="114"/>
    </row>
    <row r="14" spans="1:12" ht="13.5" customHeight="1" x14ac:dyDescent="0.2">
      <c r="A14" s="117"/>
      <c r="B14" s="122">
        <v>2000000</v>
      </c>
      <c r="C14" s="124">
        <v>0.2</v>
      </c>
      <c r="D14" s="122"/>
      <c r="E14" s="122"/>
      <c r="F14" s="126">
        <v>0.25</v>
      </c>
    </row>
    <row r="15" spans="1:12" ht="13.5" customHeight="1" x14ac:dyDescent="0.2">
      <c r="A15" s="116" t="s">
        <v>116</v>
      </c>
      <c r="B15" s="122"/>
      <c r="C15" s="122"/>
      <c r="D15" s="122">
        <f>B14*C14</f>
        <v>400000</v>
      </c>
      <c r="E15" s="122">
        <f>B14-D15</f>
        <v>1600000</v>
      </c>
      <c r="F15" s="127"/>
    </row>
    <row r="16" spans="1:12" ht="13.5" customHeight="1" x14ac:dyDescent="0.2">
      <c r="A16" s="116" t="s">
        <v>4</v>
      </c>
      <c r="B16" s="122"/>
      <c r="C16" s="122"/>
      <c r="D16" s="122">
        <f>E15*C14</f>
        <v>320000</v>
      </c>
      <c r="E16" s="122">
        <f t="shared" ref="E16:E23" si="1">E15-D16</f>
        <v>1280000</v>
      </c>
      <c r="F16" s="127"/>
    </row>
    <row r="17" spans="1:6" ht="13.5" customHeight="1" x14ac:dyDescent="0.2">
      <c r="A17" s="116" t="s">
        <v>117</v>
      </c>
      <c r="B17" s="122"/>
      <c r="C17" s="122"/>
      <c r="D17" s="122">
        <f>E16*C14</f>
        <v>256000</v>
      </c>
      <c r="E17" s="122">
        <f t="shared" si="1"/>
        <v>1024000</v>
      </c>
      <c r="F17" s="127"/>
    </row>
    <row r="18" spans="1:6" ht="13.5" customHeight="1" x14ac:dyDescent="0.2">
      <c r="A18" s="116" t="s">
        <v>118</v>
      </c>
      <c r="B18" s="122"/>
      <c r="C18" s="122"/>
      <c r="D18" s="122">
        <f>E17*C14</f>
        <v>204800</v>
      </c>
      <c r="E18" s="122">
        <f t="shared" si="1"/>
        <v>819200</v>
      </c>
      <c r="F18" s="127"/>
    </row>
    <row r="19" spans="1:6" ht="13.5" customHeight="1" x14ac:dyDescent="0.2">
      <c r="A19" s="116" t="s">
        <v>119</v>
      </c>
      <c r="B19" s="122"/>
      <c r="C19" s="122"/>
      <c r="D19" s="122">
        <f>E18*C14</f>
        <v>163840</v>
      </c>
      <c r="E19" s="122">
        <f t="shared" si="1"/>
        <v>655360</v>
      </c>
      <c r="F19" s="127"/>
    </row>
    <row r="20" spans="1:6" ht="13.5" customHeight="1" x14ac:dyDescent="0.2">
      <c r="A20" s="116" t="s">
        <v>120</v>
      </c>
      <c r="B20" s="122"/>
      <c r="C20" s="122"/>
      <c r="D20" s="122">
        <f>E19*C14</f>
        <v>131072</v>
      </c>
      <c r="E20" s="122">
        <f t="shared" si="1"/>
        <v>524288</v>
      </c>
      <c r="F20" s="127"/>
    </row>
    <row r="21" spans="1:6" ht="13.5" customHeight="1" x14ac:dyDescent="0.2">
      <c r="A21" s="116" t="s">
        <v>97</v>
      </c>
      <c r="B21" s="122"/>
      <c r="C21" s="122"/>
      <c r="D21" s="122">
        <f>E20*F14</f>
        <v>131072</v>
      </c>
      <c r="E21" s="122">
        <f t="shared" si="1"/>
        <v>393216</v>
      </c>
      <c r="F21" s="127"/>
    </row>
    <row r="22" spans="1:6" ht="13.5" customHeight="1" x14ac:dyDescent="0.2">
      <c r="A22" s="116" t="s">
        <v>72</v>
      </c>
      <c r="B22" s="122"/>
      <c r="C22" s="122"/>
      <c r="D22" s="122">
        <v>131072</v>
      </c>
      <c r="E22" s="122">
        <f t="shared" si="1"/>
        <v>262144</v>
      </c>
      <c r="F22" s="127"/>
    </row>
    <row r="23" spans="1:6" ht="13.5" customHeight="1" x14ac:dyDescent="0.2">
      <c r="A23" s="116" t="s">
        <v>121</v>
      </c>
      <c r="B23" s="122"/>
      <c r="C23" s="122"/>
      <c r="D23" s="122">
        <v>131072</v>
      </c>
      <c r="E23" s="122">
        <f t="shared" si="1"/>
        <v>131072</v>
      </c>
      <c r="F23" s="127"/>
    </row>
    <row r="24" spans="1:6" ht="13.5" customHeight="1" x14ac:dyDescent="0.2">
      <c r="A24" s="116" t="s">
        <v>122</v>
      </c>
      <c r="B24" s="122"/>
      <c r="C24" s="122"/>
      <c r="D24" s="122">
        <f>E23-E24</f>
        <v>131071</v>
      </c>
      <c r="E24" s="122">
        <v>1</v>
      </c>
      <c r="F24" s="127"/>
    </row>
    <row r="25" spans="1:6" ht="13.5" customHeight="1" x14ac:dyDescent="0.2">
      <c r="A25" s="118"/>
      <c r="B25" s="123"/>
      <c r="C25" s="123"/>
      <c r="D25" s="123">
        <f>SUM(D15:D24)</f>
        <v>1999999</v>
      </c>
      <c r="E25" s="123"/>
      <c r="F25" s="128"/>
    </row>
    <row r="26" spans="1:6" ht="13.5" customHeight="1" x14ac:dyDescent="0.2"/>
    <row r="27" spans="1:6" ht="13.5" customHeight="1" x14ac:dyDescent="0.2">
      <c r="A27" s="115" t="s">
        <v>125</v>
      </c>
      <c r="B27" s="121" t="s">
        <v>114</v>
      </c>
      <c r="C27" s="121" t="s">
        <v>115</v>
      </c>
      <c r="D27" s="121" t="s">
        <v>93</v>
      </c>
      <c r="E27" s="121" t="s">
        <v>123</v>
      </c>
      <c r="F27" s="125" t="s">
        <v>126</v>
      </c>
    </row>
    <row r="28" spans="1:6" ht="13.5" customHeight="1" x14ac:dyDescent="0.2">
      <c r="A28" s="117"/>
      <c r="B28" s="122">
        <v>1500000</v>
      </c>
      <c r="C28" s="124">
        <v>0.28599999999999998</v>
      </c>
      <c r="D28" s="122"/>
      <c r="E28" s="122"/>
      <c r="F28" s="126">
        <v>0.33400000000000002</v>
      </c>
    </row>
    <row r="29" spans="1:6" ht="13.5" customHeight="1" x14ac:dyDescent="0.2">
      <c r="A29" s="116" t="s">
        <v>116</v>
      </c>
      <c r="B29" s="122"/>
      <c r="C29" s="122"/>
      <c r="D29" s="122">
        <f>B28*C28</f>
        <v>428999.99999999994</v>
      </c>
      <c r="E29" s="122">
        <f>B28-D29</f>
        <v>1071000</v>
      </c>
      <c r="F29" s="127"/>
    </row>
    <row r="30" spans="1:6" ht="13.5" customHeight="1" x14ac:dyDescent="0.2">
      <c r="A30" s="116" t="s">
        <v>4</v>
      </c>
      <c r="B30" s="122"/>
      <c r="C30" s="122"/>
      <c r="D30" s="122">
        <f>E29*C28</f>
        <v>306306</v>
      </c>
      <c r="E30" s="122">
        <f>E29-D30</f>
        <v>764694</v>
      </c>
      <c r="F30" s="127"/>
    </row>
    <row r="31" spans="1:6" ht="13.5" customHeight="1" x14ac:dyDescent="0.2">
      <c r="A31" s="116" t="s">
        <v>117</v>
      </c>
      <c r="B31" s="122"/>
      <c r="C31" s="122"/>
      <c r="D31" s="122">
        <f>E30*C28</f>
        <v>218702.48399999997</v>
      </c>
      <c r="E31" s="122">
        <f>E30-D31</f>
        <v>545991.51600000006</v>
      </c>
      <c r="F31" s="127"/>
    </row>
    <row r="32" spans="1:6" ht="13.5" customHeight="1" x14ac:dyDescent="0.2">
      <c r="A32" s="116" t="s">
        <v>118</v>
      </c>
      <c r="B32" s="122"/>
      <c r="C32" s="122"/>
      <c r="D32" s="122">
        <f>E31*C28</f>
        <v>156153.573576</v>
      </c>
      <c r="E32" s="122">
        <f>E31-D32</f>
        <v>389837.94242400007</v>
      </c>
      <c r="F32" s="127"/>
    </row>
    <row r="33" spans="1:6" ht="13.5" customHeight="1" x14ac:dyDescent="0.2">
      <c r="A33" s="116" t="s">
        <v>119</v>
      </c>
      <c r="B33" s="122"/>
      <c r="C33" s="122"/>
      <c r="D33" s="122">
        <f>E32*F28</f>
        <v>130205.87276961603</v>
      </c>
      <c r="E33" s="122">
        <f>E32-D33</f>
        <v>259632.06965438405</v>
      </c>
      <c r="F33" s="127"/>
    </row>
    <row r="34" spans="1:6" ht="13.5" customHeight="1" x14ac:dyDescent="0.2">
      <c r="A34" s="116" t="s">
        <v>120</v>
      </c>
      <c r="B34" s="122"/>
      <c r="C34" s="122"/>
      <c r="D34" s="122">
        <v>130206</v>
      </c>
      <c r="E34" s="122">
        <f>E33-D34</f>
        <v>129426.06965438405</v>
      </c>
      <c r="F34" s="127"/>
    </row>
    <row r="35" spans="1:6" x14ac:dyDescent="0.2">
      <c r="A35" s="116" t="s">
        <v>97</v>
      </c>
      <c r="B35" s="122"/>
      <c r="C35" s="122"/>
      <c r="D35" s="122">
        <f>E34-E35</f>
        <v>129425.06965438405</v>
      </c>
      <c r="E35" s="122">
        <v>1</v>
      </c>
      <c r="F35" s="127"/>
    </row>
    <row r="36" spans="1:6" x14ac:dyDescent="0.2">
      <c r="A36" s="118"/>
      <c r="B36" s="123"/>
      <c r="C36" s="123"/>
      <c r="D36" s="123">
        <f>SUM(D29:D35)</f>
        <v>1499999</v>
      </c>
      <c r="E36" s="123"/>
      <c r="F36" s="128"/>
    </row>
  </sheetData>
  <mergeCells count="4">
    <mergeCell ref="I3:I4"/>
    <mergeCell ref="J3:J4"/>
    <mergeCell ref="K3:K4"/>
    <mergeCell ref="L3:L4"/>
  </mergeCells>
  <phoneticPr fontId="19"/>
  <pageMargins left="1.39" right="0.21" top="1.5354330708661419" bottom="0.74803149606299213" header="0.31496062992125984" footer="0.31496062992125984"/>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別添１_収支計画</vt:lpstr>
      <vt:lpstr>収支計画（品種別）</vt:lpstr>
      <vt:lpstr>品種別詳細表</vt:lpstr>
      <vt:lpstr>減価償却試算</vt:lpstr>
      <vt:lpstr>減価償却試算!Print_Area</vt:lpstr>
      <vt:lpstr>品種別詳細表!Print_Area</vt:lpstr>
      <vt:lpstr>別添１_収支計画!Print_Area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inari-suguru</dc:creator>
  <cp:lastModifiedBy>5010158</cp:lastModifiedBy>
  <cp:lastPrinted>2014-10-14T06:31:31Z</cp:lastPrinted>
  <dcterms:created xsi:type="dcterms:W3CDTF">1997-01-08T22:48:59Z</dcterms:created>
  <dcterms:modified xsi:type="dcterms:W3CDTF">2024-06-19T01:05:58Z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1.3.2.0</vt:lpwstr>
      <vt:lpwstr>1.4.9.0</vt:lpwstr>
      <vt:lpwstr>3.0.4.0</vt:lpwstr>
    </vt:vector>
  </property>
  <property fmtid="{DCFEDD21-7773-49B2-8022-6FC58DB5260B}" pid="3" name="LastSavedVersion">
    <vt:lpwstr>3.0.4.0</vt:lpwstr>
  </property>
  <property fmtid="{DCFEDD21-7773-49B2-8022-6FC58DB5260B}" pid="4" name="LastSavedDate">
    <vt:filetime>2021-06-15T00:27:56Z</vt:filetime>
  </property>
</Properties>
</file>